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/>
  <mc:AlternateContent xmlns:mc="http://schemas.openxmlformats.org/markup-compatibility/2006">
    <mc:Choice Requires="x15">
      <x15ac:absPath xmlns:x15ac="http://schemas.microsoft.com/office/spreadsheetml/2010/11/ac" url="/Users/keanuleroux/Desktop/YouTube Channel/"/>
    </mc:Choice>
  </mc:AlternateContent>
  <xr:revisionPtr revIDLastSave="0" documentId="13_ncr:1_{3CEE9927-48B4-AF43-A73E-9C9F4317110C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Budget" sheetId="1" r:id="rId1"/>
    <sheet name="Income " sheetId="19" r:id="rId2"/>
    <sheet name="January " sheetId="7" r:id="rId3"/>
    <sheet name="February" sheetId="8" r:id="rId4"/>
    <sheet name="March" sheetId="9" r:id="rId5"/>
    <sheet name="April" sheetId="10" r:id="rId6"/>
    <sheet name="May" sheetId="11" r:id="rId7"/>
    <sheet name="June " sheetId="12" r:id="rId8"/>
    <sheet name="July" sheetId="13" r:id="rId9"/>
    <sheet name="August" sheetId="14" r:id="rId10"/>
    <sheet name="September" sheetId="15" r:id="rId11"/>
    <sheet name="October" sheetId="16" r:id="rId12"/>
    <sheet name="November" sheetId="17" r:id="rId13"/>
    <sheet name="December" sheetId="18" r:id="rId14"/>
  </sheets>
  <definedNames>
    <definedName name="_xlnm.Print_Area" localSheetId="0">Budget!$A$1:$O$127</definedName>
    <definedName name="valuevx">42.314159</definedName>
    <definedName name="vertex42_copyright" hidden="1">"© 2008-2019 Vertex42 LLC"</definedName>
    <definedName name="vertex42_id" hidden="1">"personal-budget-spreadsheet.xlsx"</definedName>
    <definedName name="vertex42_title" hidden="1">"Personal Budget Spreadsheet"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8" l="1"/>
  <c r="B5" i="17"/>
  <c r="B5" i="16"/>
  <c r="B5" i="15"/>
  <c r="B5" i="14"/>
  <c r="B5" i="13"/>
  <c r="B5" i="12"/>
  <c r="B5" i="11"/>
  <c r="B5" i="10"/>
  <c r="B5" i="9"/>
  <c r="B5" i="8"/>
  <c r="B5" i="7"/>
  <c r="B4" i="7"/>
  <c r="B35" i="1"/>
  <c r="B2" i="7" s="1"/>
  <c r="C100" i="1" l="1"/>
  <c r="B8" i="8" s="1"/>
  <c r="C89" i="1"/>
  <c r="B7" i="8" s="1"/>
  <c r="C74" i="1"/>
  <c r="B6" i="8" s="1"/>
  <c r="C56" i="1"/>
  <c r="B4" i="8" s="1"/>
  <c r="C45" i="1"/>
  <c r="B3" i="8" s="1"/>
  <c r="C35" i="1"/>
  <c r="B2" i="8" s="1"/>
  <c r="N98" i="1" l="1"/>
  <c r="O98" i="1" s="1"/>
  <c r="N97" i="1"/>
  <c r="O97" i="1" s="1"/>
  <c r="N116" i="1"/>
  <c r="O116" i="1" s="1"/>
  <c r="N117" i="1"/>
  <c r="O117" i="1" s="1"/>
  <c r="N118" i="1"/>
  <c r="O118" i="1" s="1"/>
  <c r="N55" i="1"/>
  <c r="O55" i="1" s="1"/>
  <c r="N86" i="1" l="1"/>
  <c r="O86" i="1" s="1"/>
  <c r="K127" i="1"/>
  <c r="B11" i="16" s="1"/>
  <c r="K120" i="1"/>
  <c r="B10" i="16" s="1"/>
  <c r="K89" i="1"/>
  <c r="B7" i="16" s="1"/>
  <c r="K100" i="1"/>
  <c r="B8" i="16" s="1"/>
  <c r="K110" i="1"/>
  <c r="B9" i="16" s="1"/>
  <c r="K74" i="1"/>
  <c r="B6" i="16" s="1"/>
  <c r="K62" i="1"/>
  <c r="K45" i="1"/>
  <c r="B3" i="16" s="1"/>
  <c r="K35" i="1"/>
  <c r="B2" i="16" s="1"/>
  <c r="J100" i="1"/>
  <c r="B8" i="15" s="1"/>
  <c r="J127" i="1"/>
  <c r="B11" i="15" s="1"/>
  <c r="J120" i="1"/>
  <c r="B10" i="15" s="1"/>
  <c r="J89" i="1"/>
  <c r="B7" i="15" s="1"/>
  <c r="J110" i="1"/>
  <c r="B9" i="15" s="1"/>
  <c r="J74" i="1"/>
  <c r="B6" i="15" s="1"/>
  <c r="J62" i="1"/>
  <c r="J45" i="1"/>
  <c r="B3" i="15" s="1"/>
  <c r="J35" i="1"/>
  <c r="B2" i="15" s="1"/>
  <c r="D127" i="1"/>
  <c r="B11" i="9" s="1"/>
  <c r="D120" i="1"/>
  <c r="B10" i="9" s="1"/>
  <c r="D89" i="1"/>
  <c r="B7" i="9" s="1"/>
  <c r="D100" i="1"/>
  <c r="B8" i="9" s="1"/>
  <c r="D110" i="1"/>
  <c r="B9" i="9" s="1"/>
  <c r="D74" i="1"/>
  <c r="B6" i="9" s="1"/>
  <c r="D62" i="1"/>
  <c r="D35" i="1"/>
  <c r="B2" i="9" s="1"/>
  <c r="C127" i="1"/>
  <c r="B11" i="8" s="1"/>
  <c r="C120" i="1"/>
  <c r="B10" i="8" s="1"/>
  <c r="C110" i="1"/>
  <c r="B9" i="8" s="1"/>
  <c r="C62" i="1"/>
  <c r="B127" i="1"/>
  <c r="B11" i="7" s="1"/>
  <c r="B120" i="1"/>
  <c r="B10" i="7" s="1"/>
  <c r="B89" i="1"/>
  <c r="B7" i="7" s="1"/>
  <c r="B100" i="1"/>
  <c r="B8" i="7" s="1"/>
  <c r="B110" i="1"/>
  <c r="B9" i="7" s="1"/>
  <c r="B74" i="1"/>
  <c r="B6" i="7" s="1"/>
  <c r="B62" i="1"/>
  <c r="N77" i="1"/>
  <c r="O77" i="1" s="1"/>
  <c r="N84" i="1"/>
  <c r="O84" i="1" s="1"/>
  <c r="N79" i="1"/>
  <c r="O79" i="1" s="1"/>
  <c r="N85" i="1"/>
  <c r="O85" i="1" s="1"/>
  <c r="N83" i="1"/>
  <c r="O83" i="1" s="1"/>
  <c r="N78" i="1"/>
  <c r="O78" i="1" s="1"/>
  <c r="E74" i="1"/>
  <c r="B6" i="10" s="1"/>
  <c r="B56" i="1"/>
  <c r="D56" i="1"/>
  <c r="B4" i="9" s="1"/>
  <c r="E56" i="1"/>
  <c r="B4" i="10" s="1"/>
  <c r="F56" i="1"/>
  <c r="B4" i="11" s="1"/>
  <c r="G56" i="1"/>
  <c r="B4" i="12" s="1"/>
  <c r="H56" i="1"/>
  <c r="B4" i="13" s="1"/>
  <c r="I56" i="1"/>
  <c r="B4" i="14" s="1"/>
  <c r="J56" i="1"/>
  <c r="B4" i="15" s="1"/>
  <c r="K56" i="1"/>
  <c r="B4" i="16" s="1"/>
  <c r="L56" i="1"/>
  <c r="B4" i="17" s="1"/>
  <c r="M56" i="1"/>
  <c r="B4" i="18" s="1"/>
  <c r="M19" i="1"/>
  <c r="L19" i="1"/>
  <c r="K19" i="1"/>
  <c r="J19" i="1"/>
  <c r="I19" i="1"/>
  <c r="H19" i="1"/>
  <c r="G19" i="1"/>
  <c r="F19" i="1"/>
  <c r="E19" i="1"/>
  <c r="D19" i="1"/>
  <c r="C19" i="1"/>
  <c r="B19" i="1"/>
  <c r="D45" i="1"/>
  <c r="B3" i="9" s="1"/>
  <c r="E45" i="1"/>
  <c r="B3" i="10" s="1"/>
  <c r="F45" i="1"/>
  <c r="B3" i="11" s="1"/>
  <c r="G45" i="1"/>
  <c r="B3" i="12" s="1"/>
  <c r="H45" i="1"/>
  <c r="B3" i="13" s="1"/>
  <c r="I45" i="1"/>
  <c r="B3" i="14" s="1"/>
  <c r="L45" i="1"/>
  <c r="B3" i="17" s="1"/>
  <c r="M45" i="1"/>
  <c r="B3" i="18" s="1"/>
  <c r="B45" i="1"/>
  <c r="B3" i="7" s="1"/>
  <c r="E35" i="1"/>
  <c r="B2" i="10" s="1"/>
  <c r="F35" i="1"/>
  <c r="B2" i="11" s="1"/>
  <c r="G35" i="1"/>
  <c r="B2" i="12" s="1"/>
  <c r="H35" i="1"/>
  <c r="B2" i="13" s="1"/>
  <c r="I35" i="1"/>
  <c r="B2" i="14" s="1"/>
  <c r="L35" i="1"/>
  <c r="B2" i="17" s="1"/>
  <c r="M35" i="1"/>
  <c r="B2" i="18" s="1"/>
  <c r="N29" i="1"/>
  <c r="O29" i="1" s="1"/>
  <c r="A127" i="1"/>
  <c r="A120" i="1"/>
  <c r="A110" i="1"/>
  <c r="A100" i="1"/>
  <c r="A89" i="1"/>
  <c r="A74" i="1"/>
  <c r="A62" i="1"/>
  <c r="A56" i="1"/>
  <c r="A45" i="1"/>
  <c r="A35" i="1"/>
  <c r="E127" i="1"/>
  <c r="B11" i="10" s="1"/>
  <c r="F127" i="1"/>
  <c r="B11" i="11" s="1"/>
  <c r="G127" i="1"/>
  <c r="B11" i="12" s="1"/>
  <c r="H127" i="1"/>
  <c r="B11" i="13" s="1"/>
  <c r="I127" i="1"/>
  <c r="B11" i="14" s="1"/>
  <c r="L127" i="1"/>
  <c r="B11" i="17" s="1"/>
  <c r="M127" i="1"/>
  <c r="B11" i="18" s="1"/>
  <c r="E120" i="1"/>
  <c r="B10" i="10" s="1"/>
  <c r="F120" i="1"/>
  <c r="B10" i="11" s="1"/>
  <c r="G120" i="1"/>
  <c r="B10" i="12" s="1"/>
  <c r="H120" i="1"/>
  <c r="B10" i="13" s="1"/>
  <c r="I120" i="1"/>
  <c r="B10" i="14" s="1"/>
  <c r="L120" i="1"/>
  <c r="B10" i="17" s="1"/>
  <c r="M120" i="1"/>
  <c r="B10" i="18" s="1"/>
  <c r="E110" i="1"/>
  <c r="B9" i="10" s="1"/>
  <c r="F110" i="1"/>
  <c r="B9" i="11" s="1"/>
  <c r="G110" i="1"/>
  <c r="B9" i="12" s="1"/>
  <c r="H110" i="1"/>
  <c r="B9" i="13" s="1"/>
  <c r="I110" i="1"/>
  <c r="B9" i="14" s="1"/>
  <c r="L110" i="1"/>
  <c r="B9" i="17" s="1"/>
  <c r="M110" i="1"/>
  <c r="B9" i="18" s="1"/>
  <c r="E100" i="1"/>
  <c r="B8" i="10" s="1"/>
  <c r="F100" i="1"/>
  <c r="B8" i="11" s="1"/>
  <c r="G100" i="1"/>
  <c r="B8" i="12" s="1"/>
  <c r="H100" i="1"/>
  <c r="B8" i="13" s="1"/>
  <c r="I100" i="1"/>
  <c r="B8" i="14" s="1"/>
  <c r="L100" i="1"/>
  <c r="B8" i="17" s="1"/>
  <c r="M100" i="1"/>
  <c r="B8" i="18" s="1"/>
  <c r="E89" i="1"/>
  <c r="B7" i="10" s="1"/>
  <c r="F89" i="1"/>
  <c r="B7" i="11" s="1"/>
  <c r="G89" i="1"/>
  <c r="B7" i="12" s="1"/>
  <c r="H89" i="1"/>
  <c r="B7" i="13" s="1"/>
  <c r="I89" i="1"/>
  <c r="B7" i="14" s="1"/>
  <c r="L89" i="1"/>
  <c r="B7" i="17" s="1"/>
  <c r="M89" i="1"/>
  <c r="B7" i="18" s="1"/>
  <c r="F74" i="1"/>
  <c r="B6" i="11" s="1"/>
  <c r="G74" i="1"/>
  <c r="B6" i="12" s="1"/>
  <c r="H74" i="1"/>
  <c r="B6" i="13" s="1"/>
  <c r="I74" i="1"/>
  <c r="B6" i="14" s="1"/>
  <c r="L74" i="1"/>
  <c r="B6" i="17" s="1"/>
  <c r="M74" i="1"/>
  <c r="B6" i="18" s="1"/>
  <c r="E62" i="1"/>
  <c r="F62" i="1"/>
  <c r="G62" i="1"/>
  <c r="H62" i="1"/>
  <c r="I62" i="1"/>
  <c r="L62" i="1"/>
  <c r="M62" i="1"/>
  <c r="A19" i="1"/>
  <c r="N124" i="1"/>
  <c r="O124" i="1" s="1"/>
  <c r="N125" i="1"/>
  <c r="O125" i="1" s="1"/>
  <c r="N126" i="1"/>
  <c r="O126" i="1" s="1"/>
  <c r="N123" i="1"/>
  <c r="O123" i="1" s="1"/>
  <c r="N114" i="1"/>
  <c r="N115" i="1"/>
  <c r="O115" i="1" s="1"/>
  <c r="N119" i="1"/>
  <c r="O119" i="1" s="1"/>
  <c r="N113" i="1"/>
  <c r="O11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03" i="1"/>
  <c r="O103" i="1" s="1"/>
  <c r="N93" i="1"/>
  <c r="O93" i="1" s="1"/>
  <c r="N94" i="1"/>
  <c r="O94" i="1" s="1"/>
  <c r="N95" i="1"/>
  <c r="O95" i="1" s="1"/>
  <c r="N96" i="1"/>
  <c r="O96" i="1" s="1"/>
  <c r="N99" i="1"/>
  <c r="O99" i="1" s="1"/>
  <c r="N92" i="1"/>
  <c r="O92" i="1" s="1"/>
  <c r="N80" i="1"/>
  <c r="O80" i="1" s="1"/>
  <c r="N81" i="1"/>
  <c r="O81" i="1" s="1"/>
  <c r="N82" i="1"/>
  <c r="O82" i="1" s="1"/>
  <c r="N87" i="1"/>
  <c r="O87" i="1" s="1"/>
  <c r="N88" i="1"/>
  <c r="O88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65" i="1"/>
  <c r="O65" i="1" s="1"/>
  <c r="N59" i="1"/>
  <c r="O59" i="1" s="1"/>
  <c r="N60" i="1"/>
  <c r="O60" i="1" s="1"/>
  <c r="N61" i="1"/>
  <c r="O61" i="1" s="1"/>
  <c r="N58" i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48" i="1"/>
  <c r="O48" i="1" s="1"/>
  <c r="N39" i="1"/>
  <c r="O39" i="1" s="1"/>
  <c r="N40" i="1"/>
  <c r="O40" i="1" s="1"/>
  <c r="N41" i="1"/>
  <c r="N42" i="1"/>
  <c r="O42" i="1" s="1"/>
  <c r="N43" i="1"/>
  <c r="O43" i="1" s="1"/>
  <c r="N44" i="1"/>
  <c r="O44" i="1" s="1"/>
  <c r="N38" i="1"/>
  <c r="O38" i="1" s="1"/>
  <c r="N23" i="1"/>
  <c r="O23" i="1" s="1"/>
  <c r="N24" i="1"/>
  <c r="O24" i="1" s="1"/>
  <c r="N25" i="1"/>
  <c r="O25" i="1" s="1"/>
  <c r="N26" i="1"/>
  <c r="O26" i="1" s="1"/>
  <c r="N27" i="1"/>
  <c r="N28" i="1"/>
  <c r="O28" i="1" s="1"/>
  <c r="N30" i="1"/>
  <c r="O30" i="1" s="1"/>
  <c r="N31" i="1"/>
  <c r="O31" i="1" s="1"/>
  <c r="N32" i="1"/>
  <c r="O32" i="1" s="1"/>
  <c r="N33" i="1"/>
  <c r="O33" i="1" s="1"/>
  <c r="N34" i="1"/>
  <c r="O34" i="1" s="1"/>
  <c r="N22" i="1"/>
  <c r="O22" i="1" s="1"/>
  <c r="N13" i="1"/>
  <c r="O13" i="1" s="1"/>
  <c r="N14" i="1"/>
  <c r="O14" i="1" s="1"/>
  <c r="N15" i="1"/>
  <c r="O15" i="1" s="1"/>
  <c r="N16" i="1"/>
  <c r="O16" i="1"/>
  <c r="N17" i="1"/>
  <c r="O17" i="1" s="1"/>
  <c r="N18" i="1"/>
  <c r="O18" i="1" s="1"/>
  <c r="N12" i="1"/>
  <c r="O12" i="1" s="1"/>
  <c r="M6" i="1" l="1"/>
  <c r="B13" i="19"/>
  <c r="L6" i="1"/>
  <c r="B12" i="19"/>
  <c r="K6" i="1"/>
  <c r="B11" i="19"/>
  <c r="J6" i="1"/>
  <c r="B10" i="19"/>
  <c r="I6" i="1"/>
  <c r="B9" i="19"/>
  <c r="H6" i="1"/>
  <c r="B8" i="19"/>
  <c r="G6" i="1"/>
  <c r="B7" i="19"/>
  <c r="F6" i="1"/>
  <c r="B6" i="19"/>
  <c r="E6" i="1"/>
  <c r="B5" i="19"/>
  <c r="D6" i="1"/>
  <c r="B4" i="19"/>
  <c r="C6" i="1"/>
  <c r="B3" i="19"/>
  <c r="B6" i="1"/>
  <c r="N6" i="1" s="1"/>
  <c r="O6" i="1" s="1"/>
  <c r="B2" i="19"/>
  <c r="N120" i="1"/>
  <c r="O120" i="1" s="1"/>
  <c r="O114" i="1"/>
  <c r="N56" i="1"/>
  <c r="O56" i="1" s="1"/>
  <c r="N62" i="1"/>
  <c r="O62" i="1" s="1"/>
  <c r="O58" i="1"/>
  <c r="C7" i="1"/>
  <c r="C8" i="1" s="1"/>
  <c r="I7" i="1"/>
  <c r="I8" i="1" s="1"/>
  <c r="H7" i="1"/>
  <c r="H8" i="1" s="1"/>
  <c r="N74" i="1"/>
  <c r="O74" i="1" s="1"/>
  <c r="J7" i="1"/>
  <c r="G7" i="1"/>
  <c r="E7" i="1"/>
  <c r="E8" i="1" s="1"/>
  <c r="K7" i="1"/>
  <c r="K8" i="1" s="1"/>
  <c r="F7" i="1"/>
  <c r="B7" i="1"/>
  <c r="N127" i="1"/>
  <c r="O127" i="1" s="1"/>
  <c r="D7" i="1"/>
  <c r="N35" i="1"/>
  <c r="O35" i="1" s="1"/>
  <c r="N89" i="1"/>
  <c r="O89" i="1" s="1"/>
  <c r="N100" i="1"/>
  <c r="O100" i="1" s="1"/>
  <c r="N110" i="1"/>
  <c r="O110" i="1" s="1"/>
  <c r="M7" i="1"/>
  <c r="M8" i="1" s="1"/>
  <c r="N45" i="1"/>
  <c r="O45" i="1" s="1"/>
  <c r="O27" i="1"/>
  <c r="N19" i="1"/>
  <c r="O19" i="1" s="1"/>
  <c r="L7" i="1"/>
  <c r="O41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G8" i="1"/>
  <c r="F8" i="1"/>
  <c r="J8" i="1"/>
  <c r="D8" i="1"/>
  <c r="B8" i="1"/>
  <c r="N7" i="1"/>
  <c r="O7" i="1" s="1"/>
  <c r="L8" i="1"/>
  <c r="M9" i="1" l="1"/>
  <c r="N8" i="1"/>
  <c r="O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</author>
  </authors>
  <commentList>
    <comment ref="A8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NET</t>
        </r>
        <r>
          <rPr>
            <sz val="8"/>
            <color rgb="FF000000"/>
            <rFont val="Tahoma"/>
            <family val="2"/>
          </rPr>
          <t xml:space="preserve">:
</t>
        </r>
        <r>
          <rPr>
            <sz val="8"/>
            <color rgb="FF000000"/>
            <rFont val="Tahoma"/>
            <family val="2"/>
          </rPr>
          <t>Income - Expenses</t>
        </r>
      </text>
    </comment>
  </commentList>
</comments>
</file>

<file path=xl/sharedStrings.xml><?xml version="1.0" encoding="utf-8"?>
<sst xmlns="http://schemas.openxmlformats.org/spreadsheetml/2006/main" count="402" uniqueCount="120">
  <si>
    <t>INCOME</t>
  </si>
  <si>
    <t>Total Income</t>
  </si>
  <si>
    <t>Total Expenses</t>
  </si>
  <si>
    <t>Dividends</t>
  </si>
  <si>
    <t>Gifts Received</t>
  </si>
  <si>
    <t>Transfer From Savings</t>
  </si>
  <si>
    <t>MISCELLANEOUS</t>
  </si>
  <si>
    <t>Other</t>
  </si>
  <si>
    <t>TRANSPORTATION</t>
  </si>
  <si>
    <t>ENTERTAINMENT</t>
  </si>
  <si>
    <t>SUBSCRIPTIONS</t>
  </si>
  <si>
    <t>DAILY LIVING</t>
  </si>
  <si>
    <t>CHARITY/GIFTS</t>
  </si>
  <si>
    <t>Cleaning</t>
  </si>
  <si>
    <t>Starting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</si>
  <si>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</si>
  <si>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</si>
  <si>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</si>
  <si>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</si>
  <si>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</si>
  <si>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</si>
  <si>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</si>
  <si>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</si>
  <si>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</si>
  <si>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</si>
  <si>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</si>
  <si>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</si>
  <si>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</si>
  <si>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Projected End Balance</t>
  </si>
  <si>
    <t>Credit Card Debt</t>
  </si>
  <si>
    <t>[42]</t>
  </si>
  <si>
    <t>Refunds/Reimbursements</t>
  </si>
  <si>
    <t>Avg</t>
  </si>
  <si>
    <t>NET</t>
  </si>
  <si>
    <t>Outdoor Recreation</t>
  </si>
  <si>
    <t xml:space="preserve">Car Service </t>
  </si>
  <si>
    <t>Parking</t>
  </si>
  <si>
    <t xml:space="preserve">Generosity </t>
  </si>
  <si>
    <t>Tithe/Offerings</t>
  </si>
  <si>
    <t xml:space="preserve">Gifts </t>
  </si>
  <si>
    <t>Haircut</t>
  </si>
  <si>
    <t>Restauraunts</t>
  </si>
  <si>
    <t>Drinks</t>
  </si>
  <si>
    <t>Coffee</t>
  </si>
  <si>
    <t xml:space="preserve">Travel Savings </t>
  </si>
  <si>
    <t>Tyre</t>
  </si>
  <si>
    <t>Groceries</t>
  </si>
  <si>
    <t>Night out</t>
  </si>
  <si>
    <t>Data</t>
  </si>
  <si>
    <t>HEALTH/INSURANCE</t>
  </si>
  <si>
    <t>Food/Treats</t>
  </si>
  <si>
    <t>Savings/Investments</t>
  </si>
  <si>
    <t>Entertainment</t>
  </si>
  <si>
    <t>Subscriptions</t>
  </si>
  <si>
    <t>Miscelleneous</t>
  </si>
  <si>
    <t>JANUARY</t>
  </si>
  <si>
    <t>September</t>
  </si>
  <si>
    <t>October</t>
  </si>
  <si>
    <t>Furniture</t>
  </si>
  <si>
    <t>Home Expenses</t>
  </si>
  <si>
    <t>Wifi</t>
  </si>
  <si>
    <t xml:space="preserve">Water &amp; Electricity </t>
  </si>
  <si>
    <t>Doctor/Dentist</t>
  </si>
  <si>
    <t>Medicine/Drugs</t>
  </si>
  <si>
    <t>Rent</t>
  </si>
  <si>
    <t>Disney Plus</t>
  </si>
  <si>
    <t xml:space="preserve">Medical Aid </t>
  </si>
  <si>
    <t xml:space="preserve">Gap Cover </t>
  </si>
  <si>
    <t>Domestic</t>
  </si>
  <si>
    <t>Padel/Tennis</t>
  </si>
  <si>
    <t>Uber</t>
  </si>
  <si>
    <t>Clothing</t>
  </si>
  <si>
    <t xml:space="preserve">2026 Budget </t>
  </si>
  <si>
    <t xml:space="preserve">Gym </t>
  </si>
  <si>
    <t xml:space="preserve">Cosmetics </t>
  </si>
  <si>
    <t>Hobbies</t>
  </si>
  <si>
    <t>Festivals</t>
  </si>
  <si>
    <t>Weekend Away / Fun Trips</t>
  </si>
  <si>
    <t>Retirement Annuity</t>
  </si>
  <si>
    <t>ETFs</t>
  </si>
  <si>
    <t>TFSA</t>
  </si>
  <si>
    <t xml:space="preserve">Gold </t>
  </si>
  <si>
    <t>Cryptocurrency</t>
  </si>
  <si>
    <t>Bond</t>
  </si>
  <si>
    <t xml:space="preserve">Vehicle Financing </t>
  </si>
  <si>
    <t>Personal Loan</t>
  </si>
  <si>
    <t xml:space="preserve">iCloud </t>
  </si>
  <si>
    <t xml:space="preserve">iTunes </t>
  </si>
  <si>
    <t>Netflix</t>
  </si>
  <si>
    <t xml:space="preserve">Adobe Subscriptions </t>
  </si>
  <si>
    <t>Microsoft Subscriptions</t>
  </si>
  <si>
    <t>Bank Fees</t>
  </si>
  <si>
    <t xml:space="preserve">Salary </t>
  </si>
  <si>
    <t>Commission</t>
  </si>
  <si>
    <t xml:space="preserve">Life Insurance </t>
  </si>
  <si>
    <t xml:space="preserve">February </t>
  </si>
  <si>
    <t xml:space="preserve">March </t>
  </si>
  <si>
    <t>Health / Insurance</t>
  </si>
  <si>
    <t>Transportation</t>
  </si>
  <si>
    <t>Daily Living</t>
  </si>
  <si>
    <t>Debts / Financing</t>
  </si>
  <si>
    <t xml:space="preserve">Debts / Financing </t>
  </si>
  <si>
    <t>Charity / Gifts</t>
  </si>
  <si>
    <t>SAVINGS / Investments</t>
  </si>
  <si>
    <t>April</t>
  </si>
  <si>
    <t xml:space="preserve">May </t>
  </si>
  <si>
    <t>June</t>
  </si>
  <si>
    <t>July</t>
  </si>
  <si>
    <t xml:space="preserve">August </t>
  </si>
  <si>
    <t>November</t>
  </si>
  <si>
    <t>December</t>
  </si>
  <si>
    <t xml:space="preserve">Earnings </t>
  </si>
  <si>
    <t xml:space="preserve">January </t>
  </si>
  <si>
    <t xml:space="preserve">April </t>
  </si>
  <si>
    <t xml:space="preserve">July </t>
  </si>
  <si>
    <t>August</t>
  </si>
  <si>
    <t xml:space="preserve">September </t>
  </si>
  <si>
    <t xml:space="preserve">November </t>
  </si>
  <si>
    <t xml:space="preserve">Petrol </t>
  </si>
  <si>
    <t>Short-Term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</si>
</sst>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\-#,##0"/>
    <numFmt numFmtId="165" formatCode="_-[$R-1C09]* #,##0.00_-;\-[$R-1C09]* #,##0.00_-;_-[$R-1C09]* &quot;-&quot;??_-;_-@_-"/>
  </numFmts>
  <fonts count="46" x14ac:knownFonts="1">
    <font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8"/>
      <name val="Trebuchet MS"/>
      <family val="2"/>
      <scheme val="minor"/>
    </font>
    <font>
      <b/>
      <sz val="10"/>
      <name val="Trebuchet MS"/>
      <family val="2"/>
      <scheme val="minor"/>
    </font>
    <font>
      <b/>
      <sz val="18"/>
      <color theme="0"/>
      <name val="Arial"/>
      <family val="1"/>
      <scheme val="major"/>
    </font>
    <font>
      <b/>
      <sz val="18"/>
      <color theme="0"/>
      <name val="Trebuchet MS"/>
      <family val="2"/>
      <scheme val="minor"/>
    </font>
    <font>
      <b/>
      <sz val="10"/>
      <name val="Arial"/>
      <family val="1"/>
      <scheme val="major"/>
    </font>
    <font>
      <sz val="2"/>
      <color indexed="9"/>
      <name val="Trebuchet MS"/>
      <family val="2"/>
      <scheme val="minor"/>
    </font>
    <font>
      <b/>
      <sz val="10"/>
      <name val="Arial"/>
      <family val="2"/>
      <scheme val="major"/>
    </font>
    <font>
      <b/>
      <sz val="8"/>
      <name val="Arial"/>
      <family val="2"/>
      <scheme val="major"/>
    </font>
    <font>
      <sz val="9"/>
      <name val="Trebuchet MS"/>
      <family val="2"/>
      <scheme val="minor"/>
    </font>
    <font>
      <sz val="9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8"/>
      <color theme="4" tint="-0.249977111117893"/>
      <name val="Arial"/>
      <family val="2"/>
      <scheme val="major"/>
    </font>
    <font>
      <u/>
      <sz val="8"/>
      <color theme="0" tint="-0.34998626667073579"/>
      <name val="Arial"/>
      <family val="2"/>
    </font>
    <font>
      <u/>
      <sz val="10"/>
      <color rgb="FF6600CC"/>
      <name val="Arial"/>
      <family val="2"/>
    </font>
    <font>
      <sz val="8"/>
      <color theme="0" tint="-0.34998626667073579"/>
      <name val="Arial"/>
      <family val="2"/>
    </font>
    <font>
      <u/>
      <sz val="8"/>
      <color theme="1" tint="0.34998626667073579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theme="0"/>
      <name val="Arial"/>
      <family val="1"/>
      <scheme val="major"/>
    </font>
    <font>
      <b/>
      <sz val="8"/>
      <name val="Trebuchet MS"/>
      <family val="2"/>
      <scheme val="minor"/>
    </font>
    <font>
      <b/>
      <sz val="10"/>
      <color rgb="FFFFFFFF"/>
      <name val="Arial"/>
      <family val="1"/>
    </font>
    <font>
      <sz val="11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4659260841701"/>
        <bgColor auto="1"/>
      </patternFill>
    </fill>
    <fill>
      <patternFill patternType="solid">
        <fgColor rgb="FF3C5A93"/>
        <bgColor rgb="FF000000"/>
      </patternFill>
    </fill>
    <fill>
      <patternFill patternType="solid">
        <fgColor rgb="FFDEE4F1"/>
        <bgColor rgb="FFDEE4F1"/>
      </patternFill>
    </fill>
    <fill>
      <patternFill patternType="solid">
        <fgColor theme="4" tint="-0.2499465926084170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9BB0D7"/>
      </left>
      <right/>
      <top style="thin">
        <color rgb="FF9BB0D7"/>
      </top>
      <bottom style="thin">
        <color rgb="FFBFBFBF"/>
      </bottom>
      <diagonal/>
    </border>
    <border>
      <left/>
      <right style="thin">
        <color rgb="FF9BB0D7"/>
      </right>
      <top style="thin">
        <color rgb="FF9BB0D7"/>
      </top>
      <bottom style="thin">
        <color rgb="FF9BB0D7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8" fillId="1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57">
    <xf numFmtId="0" fontId="0" fillId="0" borderId="0" xfId="0"/>
    <xf numFmtId="0" fontId="22" fillId="0" borderId="0" xfId="0" applyFont="1"/>
    <xf numFmtId="0" fontId="24" fillId="0" borderId="0" xfId="0" applyFont="1"/>
    <xf numFmtId="0" fontId="25" fillId="0" borderId="0" xfId="0" applyFont="1" applyAlignment="1">
      <alignment horizontal="right" vertical="center"/>
    </xf>
    <xf numFmtId="3" fontId="24" fillId="0" borderId="7" xfId="28" applyNumberFormat="1" applyFont="1" applyFill="1" applyBorder="1"/>
    <xf numFmtId="0" fontId="29" fillId="0" borderId="0" xfId="0" applyFont="1" applyAlignment="1">
      <alignment horizontal="right"/>
    </xf>
    <xf numFmtId="0" fontId="25" fillId="20" borderId="0" xfId="0" applyFont="1" applyFill="1" applyAlignment="1">
      <alignment horizontal="right" vertical="center"/>
    </xf>
    <xf numFmtId="3" fontId="24" fillId="20" borderId="0" xfId="29" applyNumberFormat="1" applyFont="1" applyFill="1" applyBorder="1" applyAlignment="1">
      <alignment horizontal="right" vertical="center"/>
    </xf>
    <xf numFmtId="0" fontId="25" fillId="20" borderId="10" xfId="0" applyFont="1" applyFill="1" applyBorder="1" applyAlignment="1">
      <alignment horizontal="right" vertical="center"/>
    </xf>
    <xf numFmtId="3" fontId="24" fillId="20" borderId="10" xfId="29" applyNumberFormat="1" applyFont="1" applyFill="1" applyBorder="1" applyAlignment="1">
      <alignment horizontal="right" vertical="center"/>
    </xf>
    <xf numFmtId="0" fontId="25" fillId="20" borderId="11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3" fillId="0" borderId="0" xfId="36" applyFont="1" applyFill="1" applyBorder="1" applyAlignment="1" applyProtection="1"/>
    <xf numFmtId="164" fontId="24" fillId="20" borderId="11" xfId="29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30" fillId="20" borderId="0" xfId="0" applyFont="1" applyFill="1" applyAlignment="1">
      <alignment horizontal="right" vertical="center"/>
    </xf>
    <xf numFmtId="3" fontId="31" fillId="20" borderId="0" xfId="28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3" fontId="24" fillId="20" borderId="0" xfId="0" applyNumberFormat="1" applyFont="1" applyFill="1" applyAlignment="1">
      <alignment vertical="center"/>
    </xf>
    <xf numFmtId="0" fontId="22" fillId="20" borderId="0" xfId="0" applyFont="1" applyFill="1" applyAlignment="1">
      <alignment vertical="center"/>
    </xf>
    <xf numFmtId="0" fontId="32" fillId="0" borderId="0" xfId="0" applyFont="1" applyAlignment="1">
      <alignment vertical="center" shrinkToFit="1"/>
    </xf>
    <xf numFmtId="3" fontId="32" fillId="0" borderId="12" xfId="28" applyNumberFormat="1" applyFont="1" applyFill="1" applyBorder="1" applyAlignment="1">
      <alignment vertical="center"/>
    </xf>
    <xf numFmtId="3" fontId="32" fillId="20" borderId="0" xfId="0" applyNumberFormat="1" applyFont="1" applyFill="1" applyAlignment="1">
      <alignment vertical="center"/>
    </xf>
    <xf numFmtId="0" fontId="32" fillId="0" borderId="0" xfId="0" applyFont="1" applyAlignment="1">
      <alignment horizontal="right" vertical="center" shrinkToFit="1"/>
    </xf>
    <xf numFmtId="3" fontId="32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33" fillId="20" borderId="0" xfId="0" applyNumberFormat="1" applyFont="1" applyFill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36" applyFont="1" applyFill="1" applyBorder="1" applyAlignment="1" applyProtection="1"/>
    <xf numFmtId="0" fontId="38" fillId="0" borderId="0" xfId="0" applyFont="1" applyAlignment="1">
      <alignment horizontal="right"/>
    </xf>
    <xf numFmtId="0" fontId="39" fillId="0" borderId="0" xfId="36" applyFont="1" applyAlignment="1" applyProtection="1">
      <alignment horizontal="right"/>
    </xf>
    <xf numFmtId="3" fontId="34" fillId="0" borderId="0" xfId="0" applyNumberFormat="1" applyFont="1" applyAlignment="1">
      <alignment vertical="center"/>
    </xf>
    <xf numFmtId="0" fontId="42" fillId="21" borderId="13" xfId="0" applyFont="1" applyFill="1" applyBorder="1" applyAlignment="1">
      <alignment vertical="center"/>
    </xf>
    <xf numFmtId="165" fontId="0" fillId="0" borderId="0" xfId="0" applyNumberFormat="1"/>
    <xf numFmtId="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32" fillId="0" borderId="0" xfId="28" applyNumberFormat="1" applyFont="1" applyFill="1" applyAlignment="1">
      <alignment vertical="center"/>
    </xf>
    <xf numFmtId="3" fontId="32" fillId="0" borderId="0" xfId="28" applyNumberFormat="1" applyFont="1" applyFill="1" applyAlignment="1">
      <alignment horizontal="center" vertical="center"/>
    </xf>
    <xf numFmtId="3" fontId="32" fillId="0" borderId="17" xfId="28" applyNumberFormat="1" applyFont="1" applyFill="1" applyBorder="1" applyAlignment="1">
      <alignment vertical="center"/>
    </xf>
    <xf numFmtId="3" fontId="32" fillId="0" borderId="18" xfId="28" applyNumberFormat="1" applyFont="1" applyFill="1" applyBorder="1" applyAlignment="1">
      <alignment vertical="center"/>
    </xf>
    <xf numFmtId="3" fontId="33" fillId="0" borderId="0" xfId="28" applyNumberFormat="1" applyFont="1" applyFill="1" applyBorder="1" applyAlignment="1">
      <alignment vertical="center"/>
    </xf>
    <xf numFmtId="3" fontId="43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quotePrefix="1" applyFont="1" applyAlignment="1">
      <alignment vertical="center"/>
    </xf>
    <xf numFmtId="0" fontId="44" fillId="22" borderId="19" xfId="0" applyFont="1" applyFill="1" applyBorder="1" applyAlignment="1">
      <alignment vertical="center"/>
    </xf>
    <xf numFmtId="165" fontId="45" fillId="23" borderId="20" xfId="0" applyNumberFormat="1" applyFont="1" applyFill="1" applyBorder="1"/>
    <xf numFmtId="165" fontId="45" fillId="0" borderId="20" xfId="0" applyNumberFormat="1" applyFont="1" applyBorder="1"/>
    <xf numFmtId="0" fontId="42" fillId="24" borderId="0" xfId="0" applyFont="1" applyFill="1" applyAlignment="1">
      <alignment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Followed Hyperlink" xfId="45" builtinId="9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3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numFmt numFmtId="165" formatCode="_-[$R-1C09]* #,##0.00_-;\-[$R-1C09]* #,##0.00_-;_-[$R-1C09]* &quot;-&quot;??_-;_-@_-"/>
    </dxf>
    <dxf>
      <numFmt numFmtId="165" formatCode="_-[$R-1C09]* #,##0.00_-;\-[$R-1C09]* #,##0.00_-;_-[$R-1C09]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1"/>
        <scheme val="major"/>
      </font>
      <fill>
        <patternFill patternType="solid">
          <fgColor indexed="64"/>
          <bgColor theme="4" tint="-0.2499465926084170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1"/>
        <scheme val="major"/>
      </font>
      <fill>
        <patternFill patternType="solid">
          <fgColor indexed="64"/>
          <bgColor theme="4" tint="-0.2499465926084170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0" tint="-0.24994659260841701"/>
        </bottom>
      </border>
    </dxf>
    <dxf>
      <border outline="0">
        <top style="medium">
          <color indexed="64"/>
        </top>
      </border>
    </dxf>
    <dxf>
      <numFmt numFmtId="165" formatCode="_-[$R-1C09]* #,##0.00_-;\-[$R-1C09]* #,##0.00_-;_-[$R-1C09]* &quot;-&quot;??_-;_-@_-"/>
    </dxf>
    <dxf>
      <numFmt numFmtId="165" formatCode="_-[$R-1C09]* #,##0.00_-;\-[$R-1C09]* #,##0.00_-;_-[$R-1C09]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1"/>
        <scheme val="major"/>
      </font>
      <fill>
        <patternFill patternType="solid">
          <fgColor indexed="64"/>
          <bgColor theme="4" tint="-0.2499465926084170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1"/>
        <scheme val="major"/>
      </font>
      <fill>
        <patternFill patternType="solid">
          <fgColor indexed="64"/>
          <bgColor theme="4" tint="-0.2499465926084170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0" tint="-0.24994659260841701"/>
        </bottom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border outline="0">
        <top style="thin">
          <color indexed="5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border outline="0">
        <bottom style="medium">
          <color indexed="2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b/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>
          <bgColor theme="0" tint="-4.9989318521683403E-2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auto="1"/>
          <bgColor theme="6" tint="-0.24994659260841701"/>
        </patternFill>
      </fill>
      <border>
        <bottom style="thin">
          <color theme="0" tint="-0.24994659260841701"/>
        </bottom>
      </border>
    </dxf>
    <dxf>
      <font>
        <color theme="1"/>
      </font>
      <border>
        <vertical/>
      </border>
    </dxf>
    <dxf>
      <font>
        <color theme="4" tint="-0.499984740745262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>
          <bgColor theme="0" tint="-4.9989318521683403E-2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auto="1"/>
          <bgColor theme="4" tint="-0.24994659260841701"/>
        </patternFill>
      </fill>
      <border>
        <bottom style="thin">
          <color theme="0" tint="-0.24994659260841701"/>
        </bottom>
      </border>
    </dxf>
    <dxf>
      <font>
        <color theme="1"/>
      </font>
      <border>
        <vertical/>
      </border>
    </dxf>
  </dxfs>
  <tableStyles count="2" defaultTableStyle="TableStyleMedium2" defaultPivotStyle="PivotStyleLight16">
    <tableStyle name="V42_ExpenseCategory2" pivot="0" count="7" xr9:uid="{00000000-0011-0000-FFFF-FFFF00000000}">
      <tableStyleElement type="wholeTable" dxfId="388"/>
      <tableStyleElement type="headerRow" dxfId="387"/>
      <tableStyleElement type="totalRow" dxfId="386"/>
      <tableStyleElement type="firstColumn" dxfId="385"/>
      <tableStyleElement type="lastColumn" dxfId="384"/>
      <tableStyleElement type="firstColumnStripe" dxfId="383"/>
      <tableStyleElement type="secondColumnStripe" dxfId="382"/>
    </tableStyle>
    <tableStyle name="V42_IncomeCategory2" pivot="0" count="7" xr9:uid="{00000000-0011-0000-FFFF-FFFF01000000}">
      <tableStyleElement type="wholeTable" dxfId="381"/>
      <tableStyleElement type="headerRow" dxfId="380"/>
      <tableStyleElement type="totalRow" dxfId="379"/>
      <tableStyleElement type="firstColumn" dxfId="378"/>
      <tableStyleElement type="lastColumn" dxfId="377"/>
      <tableStyleElement type="firstColumnStripe" dxfId="376"/>
      <tableStyleElement type="secondColumnStripe" dxfId="37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9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FF3"/>
      <rgbColor rgb="001849B5"/>
      <rgbColor rgb="0036ACA2"/>
      <rgbColor rgb="00F0BA00"/>
      <rgbColor rgb="00BCD5E1"/>
      <rgbColor rgb="0083B3C9"/>
      <rgbColor rgb="00346378"/>
      <rgbColor rgb="0087533B"/>
      <rgbColor rgb="00C0C0C0"/>
      <rgbColor rgb="00003366"/>
      <rgbColor rgb="00109618"/>
      <rgbColor rgb="00085108"/>
      <rgbColor rgb="00635100"/>
      <rgbColor rgb="0023414F"/>
      <rgbColor rgb="00E1C8BC"/>
      <rgbColor rgb="00593727"/>
      <rgbColor rgb="00333333"/>
    </indexed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Income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'Income '!$A$2:$A$13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 </c:v>
                </c:pt>
                <c:pt idx="3">
                  <c:v>April </c:v>
                </c:pt>
                <c:pt idx="4">
                  <c:v>May </c:v>
                </c:pt>
                <c:pt idx="5">
                  <c:v>June</c:v>
                </c:pt>
                <c:pt idx="6">
                  <c:v>July </c:v>
                </c:pt>
                <c:pt idx="7">
                  <c:v>August</c:v>
                </c:pt>
                <c:pt idx="8">
                  <c:v>September </c:v>
                </c:pt>
                <c:pt idx="9">
                  <c:v>October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'Income '!$B$2:$B$13</c:f>
              <c:numCache>
                <c:formatCode>_-[$R-1C09]* #,##0.00_-;\-[$R-1C09]* #,##0.00_-;_-[$R-1C09]* "-"??_-;_-@_-</c:formatCode>
                <c:ptCount val="12"/>
                <c:pt idx="0">
                  <c:v>45000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1-0A40-9EAD-8691A23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3131200"/>
        <c:axId val="1473128064"/>
      </c:lineChart>
      <c:catAx>
        <c:axId val="147313120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3128064"/>
        <c:crosses val="autoZero"/>
        <c:auto val="1"/>
        <c:lblAlgn val="ctr"/>
        <c:lblOffset val="100"/>
        <c:noMultiLvlLbl val="0"/>
      </c:catAx>
      <c:valAx>
        <c:axId val="14731280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 (Rand)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R-1C09]* #,##0.00_-;\-[$R-1C09]* #,##0.00_-;_-[$R-1C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31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September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B35-5449-9408-95B8A51286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B35-5449-9408-95B8A512864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B35-5449-9408-95B8A512864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B35-5449-9408-95B8A512864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B35-5449-9408-95B8A512864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B35-5449-9408-95B8A512864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B35-5449-9408-95B8A512864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B35-5449-9408-95B8A5128648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B35-5449-9408-95B8A5128648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B35-5449-9408-95B8A51286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September!$A$2:$A$11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September!$B$2:$B$11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D-1943-BE39-A5DDB589A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October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C8D-2340-B7C4-3F1EC2423EC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C8D-2340-B7C4-3F1EC2423EC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C8D-2340-B7C4-3F1EC2423EC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C8D-2340-B7C4-3F1EC2423EC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C8D-2340-B7C4-3F1EC2423EC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C8D-2340-B7C4-3F1EC2423EC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8C8D-2340-B7C4-3F1EC2423EC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C8D-2340-B7C4-3F1EC2423EC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C8D-2340-B7C4-3F1EC2423EC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C8D-2340-B7C4-3F1EC2423E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October!$A$2:$A$11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October!$B$2:$B$11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A4F-9929-ED37356738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November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1DF-9B40-BD86-3DFE4FC4F0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1DF-9B40-BD86-3DFE4FC4F06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1DF-9B40-BD86-3DFE4FC4F06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1DF-9B40-BD86-3DFE4FC4F06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1DF-9B40-BD86-3DFE4FC4F06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1DF-9B40-BD86-3DFE4FC4F06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81DF-9B40-BD86-3DFE4FC4F06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1DF-9B40-BD86-3DFE4FC4F06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1DF-9B40-BD86-3DFE4FC4F06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1DF-9B40-BD86-3DFE4FC4F0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November!$A$2:$A$11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November!$B$2:$B$11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6-A64E-8D0D-7FBF37F134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December</a:t>
            </a:r>
            <a:r>
              <a:rPr lang="en-US" baseline="0"/>
              <a:t> Expenses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37D-7E4E-BDCF-952C14D2AC1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37D-7E4E-BDCF-952C14D2AC1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37D-7E4E-BDCF-952C14D2AC1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37D-7E4E-BDCF-952C14D2AC1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37D-7E4E-BDCF-952C14D2AC1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37D-7E4E-BDCF-952C14D2AC1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7D-7E4E-BDCF-952C14D2AC1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37D-7E4E-BDCF-952C14D2AC17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37D-7E4E-BDCF-952C14D2AC17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37D-7E4E-BDCF-952C14D2AC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December!$A$2:$A$11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December!$B$2:$B$11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9A4E-9622-6D6FFD1801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January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F12-1843-9CFF-4FC96CB026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F12-1843-9CFF-4FC96CB026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F12-1843-9CFF-4FC96CB026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F12-1843-9CFF-4FC96CB026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F12-1843-9CFF-4FC96CB026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EF12-1843-9CFF-4FC96CB026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F12-1843-9CFF-4FC96CB026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F12-1843-9CFF-4FC96CB0264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EF12-1843-9CFF-4FC96CB0264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EF12-1843-9CFF-4FC96CB026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'!$A$2:$A$11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'January '!$B$2:$B$11</c:f>
              <c:numCache>
                <c:formatCode>_-[$R-1C09]* #,##0.00_-;\-[$R-1C09]* #,##0.00_-;_-[$R-1C09]* "-"??_-;_-@_-</c:formatCode>
                <c:ptCount val="10"/>
                <c:pt idx="0">
                  <c:v>1900</c:v>
                </c:pt>
                <c:pt idx="1">
                  <c:v>4000</c:v>
                </c:pt>
                <c:pt idx="2">
                  <c:v>1273</c:v>
                </c:pt>
                <c:pt idx="3">
                  <c:v>0</c:v>
                </c:pt>
                <c:pt idx="4">
                  <c:v>2400</c:v>
                </c:pt>
                <c:pt idx="5">
                  <c:v>0</c:v>
                </c:pt>
                <c:pt idx="6">
                  <c:v>1000</c:v>
                </c:pt>
                <c:pt idx="7">
                  <c:v>16000</c:v>
                </c:pt>
                <c:pt idx="8">
                  <c:v>499</c:v>
                </c:pt>
                <c:pt idx="9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6-874D-B576-33F9FBA5B8A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February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7B3-394C-ACE8-0637009C438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E7B3-394C-ACE8-0637009C438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7B3-394C-ACE8-0637009C438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E7B3-394C-ACE8-0637009C438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7B3-394C-ACE8-0637009C438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7B3-394C-ACE8-0637009C438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7B3-394C-ACE8-0637009C438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E7B3-394C-ACE8-0637009C4384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7B3-394C-ACE8-0637009C4384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E7B3-394C-ACE8-0637009C43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February!$A$2:$A$11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February!$B$2:$B$11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7B3-394C-ACE8-0637009C438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March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CC5-5E4F-90CE-4B529190A66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CC5-5E4F-90CE-4B529190A66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CC5-5E4F-90CE-4B529190A66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CC5-5E4F-90CE-4B529190A66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CCC5-5E4F-90CE-4B529190A66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CC5-5E4F-90CE-4B529190A66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CCC5-5E4F-90CE-4B529190A66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CC5-5E4F-90CE-4B529190A66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CCC5-5E4F-90CE-4B529190A66B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CCC5-5E4F-90CE-4B529190A6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March!$A$2:$A$11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March!$B$2:$B$11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8-5E4E-BA13-EB05816B0B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April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05C-6E45-BBDF-DB47B5CD00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05C-6E45-BBDF-DB47B5CD00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05C-6E45-BBDF-DB47B5CD00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05C-6E45-BBDF-DB47B5CD00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05C-6E45-BBDF-DB47B5CD00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05C-6E45-BBDF-DB47B5CD00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05C-6E45-BBDF-DB47B5CD00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05C-6E45-BBDF-DB47B5CD00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05C-6E45-BBDF-DB47B5CD00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05C-6E45-BBDF-DB47B5CD00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April!$B$2:$B$11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0-4A43-A3BF-EE070B3042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May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136-4F4E-B2A9-14ED2BAE52E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136-4F4E-B2A9-14ED2BAE52E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136-4F4E-B2A9-14ED2BAE52E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136-4F4E-B2A9-14ED2BAE52E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136-4F4E-B2A9-14ED2BAE52E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136-4F4E-B2A9-14ED2BAE52E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136-4F4E-B2A9-14ED2BAE52E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136-4F4E-B2A9-14ED2BAE52E7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136-4F4E-B2A9-14ED2BAE52E7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136-4F4E-B2A9-14ED2BAE52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May!$A$2:$A$11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May!$B$2:$B$11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C-9342-BB15-DC3CB84919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June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EFE-BC4C-A490-8C823B2E5BF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EFE-BC4C-A490-8C823B2E5BF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EFE-BC4C-A490-8C823B2E5BF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EFE-BC4C-A490-8C823B2E5BF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EFE-BC4C-A490-8C823B2E5BF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9EFE-BC4C-A490-8C823B2E5BF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9EFE-BC4C-A490-8C823B2E5BF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9EFE-BC4C-A490-8C823B2E5BF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9EFE-BC4C-A490-8C823B2E5BF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9EFE-BC4C-A490-8C823B2E5B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'!$A$2:$A$11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'June '!$B$2:$B$11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7-FD44-9C16-B7A7B2B2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July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902-4D4D-9E63-46ECD9BF992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902-4D4D-9E63-46ECD9BF992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902-4D4D-9E63-46ECD9BF992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902-4D4D-9E63-46ECD9BF992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B902-4D4D-9E63-46ECD9BF992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B902-4D4D-9E63-46ECD9BF992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B902-4D4D-9E63-46ECD9BF992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B902-4D4D-9E63-46ECD9BF9928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902-4D4D-9E63-46ECD9BF9928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B902-4D4D-9E63-46ECD9BF99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July!$A$2:$A$11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July!$B$2:$B$11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5-BE4E-BCB3-F30020075A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August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CFB-EB4E-AFFA-6053B7FF4DB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CFB-EB4E-AFFA-6053B7FF4D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CFB-EB4E-AFFA-6053B7FF4D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CFB-EB4E-AFFA-6053B7FF4D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CFB-EB4E-AFFA-6053B7FF4D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ECFB-EB4E-AFFA-6053B7FF4D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CFB-EB4E-AFFA-6053B7FF4DB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CFB-EB4E-AFFA-6053B7FF4DB7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ECFB-EB4E-AFFA-6053B7FF4DB7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ECFB-EB4E-AFFA-6053B7FF4D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August!$A$2:$A$11</c:f>
              <c:strCache>
                <c:ptCount val="10"/>
                <c:pt idx="0">
                  <c:v>Home Expenses</c:v>
                </c:pt>
                <c:pt idx="1">
                  <c:v>Transportation</c:v>
                </c:pt>
                <c:pt idx="2">
                  <c:v>Health / Insurance</c:v>
                </c:pt>
                <c:pt idx="3">
                  <c:v>Charity / Gifts</c:v>
                </c:pt>
                <c:pt idx="4">
                  <c:v>Daily Living</c:v>
                </c:pt>
                <c:pt idx="5">
                  <c:v>Entertainment</c:v>
                </c:pt>
                <c:pt idx="6">
                  <c:v>Savings/Investments</c:v>
                </c:pt>
                <c:pt idx="7">
                  <c:v>Debts / Financing</c:v>
                </c:pt>
                <c:pt idx="8">
                  <c:v>Subscriptions</c:v>
                </c:pt>
                <c:pt idx="9">
                  <c:v>Miscelleneous</c:v>
                </c:pt>
              </c:strCache>
            </c:strRef>
          </c:cat>
          <c:val>
            <c:numRef>
              <c:f>August!$B$2:$B$11</c:f>
              <c:numCache>
                <c:formatCode>_-[$R-1C09]* #,##0.00_-;\-[$R-1C09]* #,##0.00_-;_-[$R-1C09]*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C-1649-9F42-D3BC8353A6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208466</xdr:colOff>
      <xdr:row>0</xdr:row>
      <xdr:rowOff>0</xdr:rowOff>
    </xdr:from>
    <xdr:to>
      <xdr:col>19</xdr:col>
      <xdr:colOff>203200</xdr:colOff>
      <xdr:row>9</xdr:row>
      <xdr:rowOff>12946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2381C1-98C8-4C6E-78BE-66F277D0B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7266" y="0"/>
          <a:ext cx="2991934" cy="1689346"/>
        </a:xfrm>
        <a:prstGeom prst="rect">
          <a:avLst/>
        </a:prstGeom>
      </xdr:spPr>
    </xdr:pic>
    <xdr:clientData/>
  </xdr:twoCellAnchor>
  <xdr:twoCellAnchor editAs="oneCell">
    <xdr:from>
      <xdr:col>15</xdr:col>
      <xdr:colOff>121641</xdr:colOff>
      <xdr:row>8</xdr:row>
      <xdr:rowOff>152400</xdr:rowOff>
    </xdr:from>
    <xdr:to>
      <xdr:col>21</xdr:col>
      <xdr:colOff>248714</xdr:colOff>
      <xdr:row>37</xdr:row>
      <xdr:rowOff>45357</xdr:rowOff>
    </xdr:to>
    <xdr:pic>
      <xdr:nvPicPr>
        <xdr:cNvPr id="2" name="Picture 1" descr="No photo description available.">
          <a:extLst>
            <a:ext uri="{FF2B5EF4-FFF2-40B4-BE49-F238E27FC236}">
              <a16:creationId xmlns:a16="http://schemas.microsoft.com/office/drawing/2014/main" id="{66565D5B-8704-7D94-4110-BC41EA687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4302" y="1632125"/>
          <a:ext cx="4507990" cy="439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</xdr:row>
      <xdr:rowOff>0</xdr:rowOff>
    </xdr:from>
    <xdr:to>
      <xdr:col>14</xdr:col>
      <xdr:colOff>190500</xdr:colOff>
      <xdr:row>41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A5EBE7-6500-E847-54EA-69263A125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406400</xdr:colOff>
      <xdr:row>1</xdr:row>
      <xdr:rowOff>50800</xdr:rowOff>
    </xdr:from>
    <xdr:to>
      <xdr:col>16</xdr:col>
      <xdr:colOff>850900</xdr:colOff>
      <xdr:row>40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D5515F-CA7C-A15E-6E35-99AFE710D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700690</xdr:colOff>
      <xdr:row>1</xdr:row>
      <xdr:rowOff>43792</xdr:rowOff>
    </xdr:from>
    <xdr:to>
      <xdr:col>15</xdr:col>
      <xdr:colOff>861264</xdr:colOff>
      <xdr:row>41</xdr:row>
      <xdr:rowOff>145976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3B626F-978A-4765-B777-5CA0B179E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508000</xdr:colOff>
      <xdr:row>1</xdr:row>
      <xdr:rowOff>12700</xdr:rowOff>
    </xdr:from>
    <xdr:to>
      <xdr:col>14</xdr:col>
      <xdr:colOff>609600</xdr:colOff>
      <xdr:row>41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A99AE3-A940-28E9-BA3F-5EF1EA2D0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406400</xdr:colOff>
      <xdr:row>1</xdr:row>
      <xdr:rowOff>12700</xdr:rowOff>
    </xdr:from>
    <xdr:to>
      <xdr:col>14</xdr:col>
      <xdr:colOff>254000</xdr:colOff>
      <xdr:row>41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3B68EF-2756-8248-A0EE-475257BD0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635000</xdr:colOff>
      <xdr:row>1</xdr:row>
      <xdr:rowOff>0</xdr:rowOff>
    </xdr:from>
    <xdr:to>
      <xdr:col>14</xdr:col>
      <xdr:colOff>647700</xdr:colOff>
      <xdr:row>37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103040-EAAF-6C6D-B195-AA8E6A1B4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736600</xdr:colOff>
      <xdr:row>1</xdr:row>
      <xdr:rowOff>38100</xdr:rowOff>
    </xdr:from>
    <xdr:to>
      <xdr:col>11</xdr:col>
      <xdr:colOff>643467</xdr:colOff>
      <xdr:row>40</xdr:row>
      <xdr:rowOff>135467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3562EA-833F-3B8B-D110-86E1FB4B6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558800</xdr:colOff>
      <xdr:row>1</xdr:row>
      <xdr:rowOff>0</xdr:rowOff>
    </xdr:from>
    <xdr:to>
      <xdr:col>18</xdr:col>
      <xdr:colOff>694266</xdr:colOff>
      <xdr:row>41</xdr:row>
      <xdr:rowOff>169333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04A982-BA1B-2052-7802-567932E83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0</xdr:row>
      <xdr:rowOff>101600</xdr:rowOff>
    </xdr:from>
    <xdr:to>
      <xdr:col>14</xdr:col>
      <xdr:colOff>241300</xdr:colOff>
      <xdr:row>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7E1B76-4E67-9224-80B5-48A5898EB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406400</xdr:colOff>
      <xdr:row>0</xdr:row>
      <xdr:rowOff>152400</xdr:rowOff>
    </xdr:from>
    <xdr:to>
      <xdr:col>14</xdr:col>
      <xdr:colOff>647700</xdr:colOff>
      <xdr:row>41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5605F2-ABB5-737C-DE50-235C70714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736600</xdr:colOff>
      <xdr:row>1</xdr:row>
      <xdr:rowOff>76200</xdr:rowOff>
    </xdr:from>
    <xdr:to>
      <xdr:col>14</xdr:col>
      <xdr:colOff>558800</xdr:colOff>
      <xdr:row>42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F0F604-3453-584D-4C2D-9C639329F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1</xdr:row>
      <xdr:rowOff>38100</xdr:rowOff>
    </xdr:from>
    <xdr:to>
      <xdr:col>14</xdr:col>
      <xdr:colOff>762000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E024D8-AE25-5863-81A4-93FE8BDF9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698500</xdr:colOff>
      <xdr:row>1</xdr:row>
      <xdr:rowOff>63500</xdr:rowOff>
    </xdr:from>
    <xdr:to>
      <xdr:col>14</xdr:col>
      <xdr:colOff>330200</xdr:colOff>
      <xdr:row>40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B0F3A2-28BD-9A5B-DF6D-8B717E011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1:O19" totalsRowCount="1" headerRowDxfId="374" dataDxfId="373" totalsRowDxfId="372" dataCellStyle="Comma">
  <tableColumns count="15">
    <tableColumn id="1" xr3:uid="{00000000-0010-0000-0000-000001000000}" name="INCOME" totalsRowFunction="custom" dataDxfId="371" totalsRowDxfId="134">
      <totalsRowFormula>"Total " &amp; Table2[[#Headers],[INCOME]]</totalsRowFormula>
    </tableColumn>
    <tableColumn id="2" xr3:uid="{00000000-0010-0000-0000-000002000000}" name="JAN" totalsRowFunction="sum" dataDxfId="370" totalsRowDxfId="133" dataCellStyle="Comma"/>
    <tableColumn id="3" xr3:uid="{00000000-0010-0000-0000-000003000000}" name="FEB" totalsRowFunction="sum" dataDxfId="369" totalsRowDxfId="132" dataCellStyle="Comma"/>
    <tableColumn id="4" xr3:uid="{00000000-0010-0000-0000-000004000000}" name="MAR" totalsRowFunction="sum" dataDxfId="368" totalsRowDxfId="131" dataCellStyle="Comma"/>
    <tableColumn id="5" xr3:uid="{00000000-0010-0000-0000-000005000000}" name="APR" totalsRowFunction="sum" dataDxfId="367" totalsRowDxfId="130" dataCellStyle="Comma"/>
    <tableColumn id="6" xr3:uid="{00000000-0010-0000-0000-000006000000}" name="MAY" totalsRowFunction="sum" dataDxfId="366" totalsRowDxfId="129" dataCellStyle="Comma"/>
    <tableColumn id="7" xr3:uid="{00000000-0010-0000-0000-000007000000}" name="JUN" totalsRowFunction="sum" dataDxfId="365" totalsRowDxfId="128" dataCellStyle="Comma"/>
    <tableColumn id="8" xr3:uid="{00000000-0010-0000-0000-000008000000}" name="JUL" totalsRowFunction="sum" dataDxfId="364" totalsRowDxfId="127" dataCellStyle="Comma"/>
    <tableColumn id="9" xr3:uid="{00000000-0010-0000-0000-000009000000}" name="AUG" totalsRowFunction="sum" dataDxfId="363" totalsRowDxfId="126" dataCellStyle="Comma"/>
    <tableColumn id="10" xr3:uid="{00000000-0010-0000-0000-00000A000000}" name="SEP" totalsRowFunction="sum" dataDxfId="362" totalsRowDxfId="125" dataCellStyle="Comma"/>
    <tableColumn id="11" xr3:uid="{00000000-0010-0000-0000-00000B000000}" name="OCT" totalsRowFunction="sum" dataDxfId="361" totalsRowDxfId="124" dataCellStyle="Comma"/>
    <tableColumn id="12" xr3:uid="{00000000-0010-0000-0000-00000C000000}" name="NOV" totalsRowFunction="sum" dataDxfId="360" totalsRowDxfId="123" dataCellStyle="Comma"/>
    <tableColumn id="13" xr3:uid="{00000000-0010-0000-0000-00000D000000}" name="DEC" totalsRowFunction="sum" dataDxfId="359" totalsRowDxfId="122" dataCellStyle="Comma"/>
    <tableColumn id="14" xr3:uid="{00000000-0010-0000-0000-00000E000000}" name="Total" totalsRowFunction="sum" dataDxfId="358" totalsRowDxfId="121">
      <calculatedColumnFormula>SUM(B12:M12)</calculatedColumnFormula>
    </tableColumn>
    <tableColumn id="15" xr3:uid="{00000000-0010-0000-0000-00000F000000}" name="Avg" totalsRowFunction="custom" dataDxfId="357" totalsRowDxfId="120">
      <calculatedColumnFormula>N12/COLUMNS(B12:M12)</calculatedColumnFormula>
      <totalsRowFormula>Table2[[#Totals],[Total]]/COLUMNS(Table2[[#Totals],[JAN]:[DEC]])</totalsRowFormula>
    </tableColumn>
  </tableColumns>
  <tableStyleInfo name="V42_IncomeCategory2" showFirstColumn="1" showLastColumn="0" showRowStripes="0" showColumnStripes="1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112:O120" totalsRowCount="1" headerRowDxfId="180" dataDxfId="179" totalsRowDxfId="178">
  <tableColumns count="15">
    <tableColumn id="1" xr3:uid="{00000000-0010-0000-0900-000001000000}" name="SUBSCRIPTIONS" totalsRowFunction="custom" dataDxfId="177" totalsRowDxfId="74">
      <totalsRowFormula>"Total " &amp;Table11[[#Headers],[SUBSCRIPTIONS]]</totalsRowFormula>
    </tableColumn>
    <tableColumn id="2" xr3:uid="{00000000-0010-0000-0900-000002000000}" name="JAN" totalsRowFunction="sum" dataDxfId="176" totalsRowDxfId="73" dataCellStyle="Comma"/>
    <tableColumn id="3" xr3:uid="{00000000-0010-0000-0900-000003000000}" name="FEB" totalsRowFunction="sum" dataDxfId="175" totalsRowDxfId="72"/>
    <tableColumn id="4" xr3:uid="{00000000-0010-0000-0900-000004000000}" name="MAR" totalsRowFunction="sum" dataDxfId="174" totalsRowDxfId="71"/>
    <tableColumn id="5" xr3:uid="{00000000-0010-0000-0900-000005000000}" name="APR" totalsRowFunction="sum" dataDxfId="173" totalsRowDxfId="70"/>
    <tableColumn id="6" xr3:uid="{00000000-0010-0000-0900-000006000000}" name="MAY" totalsRowFunction="sum" dataDxfId="172" totalsRowDxfId="69"/>
    <tableColumn id="7" xr3:uid="{00000000-0010-0000-0900-000007000000}" name="JUN" totalsRowFunction="sum" dataDxfId="171" totalsRowDxfId="68"/>
    <tableColumn id="8" xr3:uid="{00000000-0010-0000-0900-000008000000}" name="JUL" totalsRowFunction="sum" dataDxfId="170" totalsRowDxfId="67"/>
    <tableColumn id="9" xr3:uid="{00000000-0010-0000-0900-000009000000}" name="AUG" totalsRowFunction="sum" dataDxfId="169" totalsRowDxfId="66"/>
    <tableColumn id="10" xr3:uid="{00000000-0010-0000-0900-00000A000000}" name="SEP" totalsRowFunction="sum" dataDxfId="168" totalsRowDxfId="65"/>
    <tableColumn id="11" xr3:uid="{00000000-0010-0000-0900-00000B000000}" name="OCT" totalsRowFunction="sum" dataDxfId="167" totalsRowDxfId="64"/>
    <tableColumn id="12" xr3:uid="{00000000-0010-0000-0900-00000C000000}" name="NOV" totalsRowFunction="sum" dataDxfId="166" totalsRowDxfId="63"/>
    <tableColumn id="13" xr3:uid="{00000000-0010-0000-0900-00000D000000}" name="DEC" totalsRowFunction="sum" dataDxfId="165" totalsRowDxfId="62"/>
    <tableColumn id="14" xr3:uid="{00000000-0010-0000-0900-00000E000000}" name="Total" totalsRowFunction="sum" dataDxfId="164" totalsRowDxfId="61">
      <calculatedColumnFormula>SUM(B113:M113)</calculatedColumnFormula>
    </tableColumn>
    <tableColumn id="15" xr3:uid="{00000000-0010-0000-0900-00000F000000}" name="Avg" totalsRowFunction="custom" dataDxfId="163" totalsRowDxfId="60">
      <calculatedColumnFormula>N113/COLUMNS(B113:M113)</calculatedColumnFormula>
      <totalsRowFormula>Table11[[#Totals],[Total]]/COLUMNS(Table11[[#Totals],[JAN]:[DEC]])</totalsRowFormula>
    </tableColumn>
  </tableColumns>
  <tableStyleInfo name="V42_ExpenseCategory2" showFirstColumn="1" showLastColumn="0" showRowStripes="0" showColumnStripes="1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122:O127" totalsRowCount="1" headerRowDxfId="162" dataDxfId="161" totalsRowDxfId="160">
  <tableColumns count="15">
    <tableColumn id="1" xr3:uid="{00000000-0010-0000-0A00-000001000000}" name="MISCELLANEOUS" totalsRowFunction="custom" dataDxfId="159" totalsRowDxfId="59">
      <totalsRowFormula>"Total " &amp;Table12[[#Headers],[MISCELLANEOUS]]</totalsRowFormula>
    </tableColumn>
    <tableColumn id="2" xr3:uid="{00000000-0010-0000-0A00-000002000000}" name="JAN" totalsRowFunction="sum" dataDxfId="158" totalsRowDxfId="58"/>
    <tableColumn id="3" xr3:uid="{00000000-0010-0000-0A00-000003000000}" name="FEB" totalsRowFunction="sum" dataDxfId="157" totalsRowDxfId="57"/>
    <tableColumn id="4" xr3:uid="{00000000-0010-0000-0A00-000004000000}" name="MAR" totalsRowFunction="sum" dataDxfId="156" totalsRowDxfId="56"/>
    <tableColumn id="5" xr3:uid="{00000000-0010-0000-0A00-000005000000}" name="APR" totalsRowFunction="sum" dataDxfId="155" totalsRowDxfId="55"/>
    <tableColumn id="6" xr3:uid="{00000000-0010-0000-0A00-000006000000}" name="MAY" totalsRowFunction="sum" dataDxfId="154" totalsRowDxfId="54"/>
    <tableColumn id="7" xr3:uid="{00000000-0010-0000-0A00-000007000000}" name="JUN" totalsRowFunction="sum" dataDxfId="153" totalsRowDxfId="53"/>
    <tableColumn id="8" xr3:uid="{00000000-0010-0000-0A00-000008000000}" name="JUL" totalsRowFunction="sum" dataDxfId="152" totalsRowDxfId="52"/>
    <tableColumn id="9" xr3:uid="{00000000-0010-0000-0A00-000009000000}" name="AUG" totalsRowFunction="sum" dataDxfId="151" totalsRowDxfId="51"/>
    <tableColumn id="10" xr3:uid="{00000000-0010-0000-0A00-00000A000000}" name="SEP" totalsRowFunction="sum" dataDxfId="150" totalsRowDxfId="50"/>
    <tableColumn id="11" xr3:uid="{00000000-0010-0000-0A00-00000B000000}" name="OCT" totalsRowFunction="sum" dataDxfId="149" totalsRowDxfId="49"/>
    <tableColumn id="12" xr3:uid="{00000000-0010-0000-0A00-00000C000000}" name="NOV" totalsRowFunction="sum" dataDxfId="148" totalsRowDxfId="48"/>
    <tableColumn id="13" xr3:uid="{00000000-0010-0000-0A00-00000D000000}" name="DEC" totalsRowFunction="sum" dataDxfId="147" totalsRowDxfId="47"/>
    <tableColumn id="14" xr3:uid="{00000000-0010-0000-0A00-00000E000000}" name="Total" totalsRowFunction="sum" dataDxfId="146" totalsRowDxfId="46">
      <calculatedColumnFormula>SUM(B123:M123)</calculatedColumnFormula>
    </tableColumn>
    <tableColumn id="15" xr3:uid="{00000000-0010-0000-0A00-00000F000000}" name="Avg" totalsRowFunction="custom" dataDxfId="145" totalsRowDxfId="45">
      <calculatedColumnFormula>N123/COLUMNS(B123:M123)</calculatedColumnFormula>
      <totalsRowFormula>Table12[[#Totals],[Total]]/COLUMNS(Table12[[#Totals],[JAN]:[DEC]])</totalsRowFormula>
    </tableColumn>
  </tableColumns>
  <tableStyleInfo name="V42_ExpenseCategory2" showFirstColumn="1" showLastColumn="0" showRowStripes="0" showColumnStripes="1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10F8AFC-5D1D-C54D-8515-6B61528F7360}" name="Table1514" displayName="Table1514" ref="A2:B13" headerRowCount="0" totalsRowShown="0" tableBorderDxfId="144">
  <tableColumns count="2">
    <tableColumn id="1" xr3:uid="{382313C1-661C-4F48-B8A7-850D54FE0197}" name="Column1" headerRowDxfId="143" dataDxfId="142"/>
    <tableColumn id="2" xr3:uid="{0614D79C-ACD7-AB4D-89EF-4347A3834343}" name="Column2" headerRowDxfId="141" dataDxfId="1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ECD4304-37A4-6946-B479-CB8F2269582D}" name="Table15" displayName="Table15" ref="A2:B12" headerRowCount="0" totalsRowShown="0" tableBorderDxfId="139">
  <tableColumns count="2">
    <tableColumn id="1" xr3:uid="{2A219459-35B1-2B44-8CE2-8CFC225B87B2}" name="Column1" headerRowDxfId="138" dataDxfId="137"/>
    <tableColumn id="2" xr3:uid="{3C17D0A1-D88A-1D4C-A82B-9DF3E7B797C2}" name="Column2" headerRowDxfId="136" dataDxfId="1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21:O35" totalsRowCount="1" headerRowDxfId="356" dataDxfId="355" totalsRowDxfId="354" dataCellStyle="Comma">
  <tableColumns count="15">
    <tableColumn id="1" xr3:uid="{00000000-0010-0000-0100-000001000000}" name="Home Expenses" totalsRowFunction="custom" dataDxfId="353" totalsRowDxfId="119">
      <totalsRowFormula>"Total "&amp;Table3[[#Headers],[Home Expenses]]</totalsRowFormula>
    </tableColumn>
    <tableColumn id="2" xr3:uid="{00000000-0010-0000-0100-000002000000}" name="JAN" totalsRowFunction="sum" dataDxfId="352" totalsRowDxfId="118" dataCellStyle="Comma"/>
    <tableColumn id="3" xr3:uid="{00000000-0010-0000-0100-000003000000}" name="FEB" totalsRowFunction="sum" dataDxfId="351" totalsRowDxfId="117" dataCellStyle="Comma"/>
    <tableColumn id="4" xr3:uid="{00000000-0010-0000-0100-000004000000}" name="MAR" totalsRowFunction="sum" dataDxfId="350" totalsRowDxfId="116" dataCellStyle="Comma"/>
    <tableColumn id="5" xr3:uid="{00000000-0010-0000-0100-000005000000}" name="APR" totalsRowFunction="sum" dataDxfId="349" totalsRowDxfId="115" dataCellStyle="Comma"/>
    <tableColumn id="6" xr3:uid="{00000000-0010-0000-0100-000006000000}" name="MAY" totalsRowFunction="sum" dataDxfId="348" totalsRowDxfId="114" dataCellStyle="Comma"/>
    <tableColumn id="7" xr3:uid="{00000000-0010-0000-0100-000007000000}" name="JUN" totalsRowFunction="sum" dataDxfId="347" totalsRowDxfId="113" dataCellStyle="Comma"/>
    <tableColumn id="8" xr3:uid="{00000000-0010-0000-0100-000008000000}" name="JUL" totalsRowFunction="sum" dataDxfId="346" totalsRowDxfId="112" dataCellStyle="Comma"/>
    <tableColumn id="9" xr3:uid="{00000000-0010-0000-0100-000009000000}" name="AUG" totalsRowFunction="sum" dataDxfId="345" totalsRowDxfId="111" dataCellStyle="Comma"/>
    <tableColumn id="10" xr3:uid="{00000000-0010-0000-0100-00000A000000}" name="SEP" totalsRowFunction="sum" dataDxfId="344" totalsRowDxfId="110" dataCellStyle="Comma"/>
    <tableColumn id="11" xr3:uid="{00000000-0010-0000-0100-00000B000000}" name="OCT" totalsRowFunction="sum" dataDxfId="343" totalsRowDxfId="109" dataCellStyle="Comma"/>
    <tableColumn id="12" xr3:uid="{00000000-0010-0000-0100-00000C000000}" name="NOV" totalsRowFunction="sum" dataDxfId="342" totalsRowDxfId="108" dataCellStyle="Comma"/>
    <tableColumn id="13" xr3:uid="{00000000-0010-0000-0100-00000D000000}" name="DEC" totalsRowFunction="sum" dataDxfId="341" totalsRowDxfId="107" dataCellStyle="Comma"/>
    <tableColumn id="14" xr3:uid="{00000000-0010-0000-0100-00000E000000}" name="Total" totalsRowFunction="sum" dataDxfId="340" totalsRowDxfId="106">
      <calculatedColumnFormula>SUM(B22:M22)</calculatedColumnFormula>
    </tableColumn>
    <tableColumn id="15" xr3:uid="{00000000-0010-0000-0100-00000F000000}" name="Avg" totalsRowFunction="custom" dataDxfId="339" totalsRowDxfId="105">
      <calculatedColumnFormula>N22/COLUMNS(B22:M22)</calculatedColumnFormula>
      <totalsRowFormula>Table3[[#Totals],[Total]]/COLUMNS(Table3[[#Totals],[JAN]:[DEC]])</totalsRowFormula>
    </tableColumn>
  </tableColumns>
  <tableStyleInfo name="V42_ExpenseCategory2" showFirstColumn="1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37:O45" totalsRowCount="1" headerRowDxfId="338" dataDxfId="336" totalsRowDxfId="334" headerRowBorderDxfId="337" tableBorderDxfId="335" dataCellStyle="Comma">
  <tableColumns count="15">
    <tableColumn id="1" xr3:uid="{00000000-0010-0000-0200-000001000000}" name="TRANSPORTATION" totalsRowFunction="custom" dataDxfId="333" totalsRowDxfId="104">
      <totalsRowFormula>"Total "&amp;Table4[[#Headers],[TRANSPORTATION]]</totalsRowFormula>
    </tableColumn>
    <tableColumn id="2" xr3:uid="{00000000-0010-0000-0200-000002000000}" name="JAN" totalsRowFunction="sum" dataDxfId="332" totalsRowDxfId="103" dataCellStyle="Comma"/>
    <tableColumn id="3" xr3:uid="{00000000-0010-0000-0200-000003000000}" name="FEB" totalsRowFunction="sum" dataDxfId="331" totalsRowDxfId="102" dataCellStyle="Comma"/>
    <tableColumn id="4" xr3:uid="{00000000-0010-0000-0200-000004000000}" name="MAR" totalsRowFunction="sum" dataDxfId="330" totalsRowDxfId="101" dataCellStyle="Comma"/>
    <tableColumn id="5" xr3:uid="{00000000-0010-0000-0200-000005000000}" name="APR" totalsRowFunction="sum" dataDxfId="329" totalsRowDxfId="100" dataCellStyle="Comma"/>
    <tableColumn id="6" xr3:uid="{00000000-0010-0000-0200-000006000000}" name="MAY" totalsRowFunction="sum" dataDxfId="328" totalsRowDxfId="99" dataCellStyle="Comma"/>
    <tableColumn id="7" xr3:uid="{00000000-0010-0000-0200-000007000000}" name="JUN" totalsRowFunction="sum" dataDxfId="327" totalsRowDxfId="98" dataCellStyle="Comma"/>
    <tableColumn id="8" xr3:uid="{00000000-0010-0000-0200-000008000000}" name="JUL" totalsRowFunction="sum" dataDxfId="326" totalsRowDxfId="97" dataCellStyle="Comma"/>
    <tableColumn id="9" xr3:uid="{00000000-0010-0000-0200-000009000000}" name="AUG" totalsRowFunction="sum" dataDxfId="325" totalsRowDxfId="96" dataCellStyle="Comma"/>
    <tableColumn id="10" xr3:uid="{00000000-0010-0000-0200-00000A000000}" name="SEP" totalsRowFunction="sum" dataDxfId="324" totalsRowDxfId="95" dataCellStyle="Comma"/>
    <tableColumn id="11" xr3:uid="{00000000-0010-0000-0200-00000B000000}" name="OCT" totalsRowFunction="sum" dataDxfId="323" totalsRowDxfId="94" dataCellStyle="Comma"/>
    <tableColumn id="12" xr3:uid="{00000000-0010-0000-0200-00000C000000}" name="NOV" totalsRowFunction="sum" dataDxfId="322" totalsRowDxfId="93" dataCellStyle="Comma"/>
    <tableColumn id="13" xr3:uid="{00000000-0010-0000-0200-00000D000000}" name="DEC" totalsRowFunction="sum" dataDxfId="321" totalsRowDxfId="92" dataCellStyle="Comma"/>
    <tableColumn id="14" xr3:uid="{00000000-0010-0000-0200-00000E000000}" name="Total" totalsRowFunction="sum" dataDxfId="320" totalsRowDxfId="91">
      <calculatedColumnFormula>SUM(B38:M38)</calculatedColumnFormula>
    </tableColumn>
    <tableColumn id="15" xr3:uid="{00000000-0010-0000-0200-00000F000000}" name="Avg" totalsRowFunction="custom" dataDxfId="319" totalsRowDxfId="90">
      <calculatedColumnFormula>N38/COLUMNS(B38:M38)</calculatedColumnFormula>
      <totalsRowFormula>Table4[[#Totals],[Total]]/COLUMNS(Table4[[#Totals],[JAN]:[DEC]])</totalsRowFormula>
    </tableColumn>
  </tableColumns>
  <tableStyleInfo name="V42_ExpenseCategory2" showFirstColumn="1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47:O56" totalsRowCount="1" headerRowDxfId="318" dataDxfId="317" totalsRowDxfId="316" dataCellStyle="Comma">
  <tableColumns count="15">
    <tableColumn id="1" xr3:uid="{00000000-0010-0000-0300-000001000000}" name="HEALTH/INSURANCE" totalsRowFunction="custom" dataDxfId="315" totalsRowDxfId="29">
      <totalsRowFormula>"Total "&amp;Table5[[#Headers],[HEALTH/INSURANCE]]</totalsRowFormula>
    </tableColumn>
    <tableColumn id="2" xr3:uid="{00000000-0010-0000-0300-000002000000}" name="JAN" totalsRowFunction="sum" dataDxfId="314" totalsRowDxfId="28" dataCellStyle="Comma"/>
    <tableColumn id="3" xr3:uid="{00000000-0010-0000-0300-000003000000}" name="FEB" totalsRowFunction="sum" dataDxfId="313" totalsRowDxfId="27" dataCellStyle="Comma"/>
    <tableColumn id="4" xr3:uid="{00000000-0010-0000-0300-000004000000}" name="MAR" totalsRowFunction="sum" dataDxfId="312" totalsRowDxfId="26" dataCellStyle="Comma"/>
    <tableColumn id="5" xr3:uid="{00000000-0010-0000-0300-000005000000}" name="APR" totalsRowFunction="sum" dataDxfId="311" totalsRowDxfId="25" dataCellStyle="Comma"/>
    <tableColumn id="6" xr3:uid="{00000000-0010-0000-0300-000006000000}" name="MAY" totalsRowFunction="sum" dataDxfId="310" totalsRowDxfId="24" dataCellStyle="Comma"/>
    <tableColumn id="7" xr3:uid="{00000000-0010-0000-0300-000007000000}" name="JUN" totalsRowFunction="sum" dataDxfId="309" totalsRowDxfId="23" dataCellStyle="Comma"/>
    <tableColumn id="8" xr3:uid="{00000000-0010-0000-0300-000008000000}" name="JUL" totalsRowFunction="sum" dataDxfId="308" totalsRowDxfId="22" dataCellStyle="Comma"/>
    <tableColumn id="9" xr3:uid="{00000000-0010-0000-0300-000009000000}" name="AUG" totalsRowFunction="sum" dataDxfId="307" totalsRowDxfId="21" dataCellStyle="Comma"/>
    <tableColumn id="10" xr3:uid="{00000000-0010-0000-0300-00000A000000}" name="SEP" totalsRowFunction="sum" dataDxfId="306" totalsRowDxfId="20" dataCellStyle="Comma"/>
    <tableColumn id="11" xr3:uid="{00000000-0010-0000-0300-00000B000000}" name="OCT" totalsRowFunction="sum" dataDxfId="305" totalsRowDxfId="19" dataCellStyle="Comma"/>
    <tableColumn id="12" xr3:uid="{00000000-0010-0000-0300-00000C000000}" name="NOV" totalsRowFunction="sum" dataDxfId="304" totalsRowDxfId="18" dataCellStyle="Comma"/>
    <tableColumn id="13" xr3:uid="{00000000-0010-0000-0300-00000D000000}" name="DEC" totalsRowFunction="sum" dataDxfId="303" totalsRowDxfId="17" dataCellStyle="Comma"/>
    <tableColumn id="14" xr3:uid="{00000000-0010-0000-0300-00000E000000}" name="Total" totalsRowFunction="sum" dataDxfId="302" totalsRowDxfId="16">
      <calculatedColumnFormula>SUM(B48:M48)</calculatedColumnFormula>
    </tableColumn>
    <tableColumn id="15" xr3:uid="{00000000-0010-0000-0300-00000F000000}" name="Avg" totalsRowFunction="custom" dataDxfId="301" totalsRowDxfId="15">
      <calculatedColumnFormula>N48/COLUMNS(B48:M48)</calculatedColumnFormula>
      <totalsRowFormula>Table5[[#Totals],[Total]]/COLUMNS(Table5[[#Totals],[JAN]:[DEC]])</totalsRowFormula>
    </tableColumn>
  </tableColumns>
  <tableStyleInfo name="V42_ExpenseCategory2" showFirstColumn="1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57:O62" totalsRowCount="1" headerRowDxfId="300" dataDxfId="299" totalsRowDxfId="298">
  <tableColumns count="15">
    <tableColumn id="1" xr3:uid="{00000000-0010-0000-0400-000001000000}" name="CHARITY/GIFTS" totalsRowFunction="custom" dataDxfId="297" totalsRowDxfId="296">
      <totalsRowFormula>"Total " &amp; Table6[[#Headers],[CHARITY/GIFTS]]</totalsRowFormula>
    </tableColumn>
    <tableColumn id="2" xr3:uid="{00000000-0010-0000-0400-000002000000}" name="JAN" totalsRowFunction="sum" dataDxfId="295" totalsRowDxfId="294"/>
    <tableColumn id="3" xr3:uid="{00000000-0010-0000-0400-000003000000}" name="FEB" totalsRowFunction="sum" dataDxfId="293" totalsRowDxfId="292"/>
    <tableColumn id="4" xr3:uid="{00000000-0010-0000-0400-000004000000}" name="MAR" totalsRowFunction="sum" dataDxfId="291" totalsRowDxfId="290"/>
    <tableColumn id="5" xr3:uid="{00000000-0010-0000-0400-000005000000}" name="APR" totalsRowFunction="sum" dataDxfId="289" totalsRowDxfId="288"/>
    <tableColumn id="6" xr3:uid="{00000000-0010-0000-0400-000006000000}" name="MAY" totalsRowFunction="sum" dataDxfId="287" totalsRowDxfId="286"/>
    <tableColumn id="7" xr3:uid="{00000000-0010-0000-0400-000007000000}" name="JUN" totalsRowFunction="sum" dataDxfId="285" totalsRowDxfId="284"/>
    <tableColumn id="8" xr3:uid="{00000000-0010-0000-0400-000008000000}" name="JUL" totalsRowFunction="sum" dataDxfId="283" totalsRowDxfId="282"/>
    <tableColumn id="9" xr3:uid="{00000000-0010-0000-0400-000009000000}" name="AUG" totalsRowFunction="sum" dataDxfId="281" totalsRowDxfId="280"/>
    <tableColumn id="10" xr3:uid="{00000000-0010-0000-0400-00000A000000}" name="SEP" totalsRowFunction="sum" dataDxfId="279" totalsRowDxfId="278"/>
    <tableColumn id="11" xr3:uid="{00000000-0010-0000-0400-00000B000000}" name="OCT" totalsRowFunction="sum" dataDxfId="277" totalsRowDxfId="276"/>
    <tableColumn id="12" xr3:uid="{00000000-0010-0000-0400-00000C000000}" name="NOV" totalsRowFunction="sum" dataDxfId="275" totalsRowDxfId="274"/>
    <tableColumn id="13" xr3:uid="{00000000-0010-0000-0400-00000D000000}" name="DEC" totalsRowFunction="sum" dataDxfId="273" totalsRowDxfId="272"/>
    <tableColumn id="14" xr3:uid="{00000000-0010-0000-0400-00000E000000}" name="Total" totalsRowFunction="sum" dataDxfId="271" totalsRowDxfId="270">
      <calculatedColumnFormula>SUM(B58:M58)</calculatedColumnFormula>
    </tableColumn>
    <tableColumn id="15" xr3:uid="{00000000-0010-0000-0400-00000F000000}" name="Avg" totalsRowFunction="custom" dataDxfId="269" totalsRowDxfId="268">
      <calculatedColumnFormula>N58/COLUMNS(B58:M58)</calculatedColumnFormula>
      <totalsRowFormula>Table6[[#Totals],[Total]]/COLUMNS(Table6[[#Totals],[JAN]:[DEC]])</totalsRowFormula>
    </tableColumn>
  </tableColumns>
  <tableStyleInfo name="V42_ExpenseCategory2" showFirstColumn="1" showLastColumn="0" showRowStripes="0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64:O74" totalsRowCount="1" headerRowDxfId="267" dataDxfId="266" totalsRowDxfId="265" dataCellStyle="Comma">
  <tableColumns count="15">
    <tableColumn id="1" xr3:uid="{00000000-0010-0000-0500-000001000000}" name="DAILY LIVING" totalsRowFunction="custom" dataDxfId="264" totalsRowDxfId="89">
      <totalsRowFormula>"Total " &amp; Table7[[#Headers],[DAILY LIVING]]</totalsRowFormula>
    </tableColumn>
    <tableColumn id="2" xr3:uid="{00000000-0010-0000-0500-000002000000}" name="JAN" totalsRowFunction="sum" dataDxfId="263" totalsRowDxfId="88" dataCellStyle="Comma"/>
    <tableColumn id="3" xr3:uid="{00000000-0010-0000-0500-000003000000}" name="FEB" totalsRowFunction="sum" dataDxfId="262" totalsRowDxfId="87" dataCellStyle="Comma"/>
    <tableColumn id="4" xr3:uid="{00000000-0010-0000-0500-000004000000}" name="MAR" totalsRowFunction="sum" dataDxfId="261" totalsRowDxfId="86" dataCellStyle="Comma"/>
    <tableColumn id="5" xr3:uid="{00000000-0010-0000-0500-000005000000}" name="APR" totalsRowFunction="sum" dataDxfId="260" totalsRowDxfId="85" dataCellStyle="Comma"/>
    <tableColumn id="6" xr3:uid="{00000000-0010-0000-0500-000006000000}" name="MAY" totalsRowFunction="sum" dataDxfId="259" totalsRowDxfId="84" dataCellStyle="Comma"/>
    <tableColumn id="7" xr3:uid="{00000000-0010-0000-0500-000007000000}" name="JUN" totalsRowFunction="sum" dataDxfId="258" totalsRowDxfId="83" dataCellStyle="Comma"/>
    <tableColumn id="8" xr3:uid="{00000000-0010-0000-0500-000008000000}" name="JUL" totalsRowFunction="sum" dataDxfId="257" totalsRowDxfId="82" dataCellStyle="Comma"/>
    <tableColumn id="9" xr3:uid="{00000000-0010-0000-0500-000009000000}" name="AUG" totalsRowFunction="sum" dataDxfId="256" totalsRowDxfId="81" dataCellStyle="Comma"/>
    <tableColumn id="10" xr3:uid="{00000000-0010-0000-0500-00000A000000}" name="SEP" totalsRowFunction="sum" dataDxfId="255" totalsRowDxfId="80" dataCellStyle="Comma"/>
    <tableColumn id="11" xr3:uid="{00000000-0010-0000-0500-00000B000000}" name="OCT" totalsRowFunction="sum" dataDxfId="254" totalsRowDxfId="79" dataCellStyle="Comma"/>
    <tableColumn id="12" xr3:uid="{00000000-0010-0000-0500-00000C000000}" name="NOV" totalsRowFunction="sum" dataDxfId="253" totalsRowDxfId="78" dataCellStyle="Comma"/>
    <tableColumn id="13" xr3:uid="{00000000-0010-0000-0500-00000D000000}" name="DEC" totalsRowFunction="sum" dataDxfId="252" totalsRowDxfId="77" dataCellStyle="Comma"/>
    <tableColumn id="14" xr3:uid="{00000000-0010-0000-0500-00000E000000}" name="Total" totalsRowFunction="sum" dataDxfId="251" totalsRowDxfId="76">
      <calculatedColumnFormula>SUM(B65:M65)</calculatedColumnFormula>
    </tableColumn>
    <tableColumn id="15" xr3:uid="{00000000-0010-0000-0500-00000F000000}" name="Avg" totalsRowFunction="custom" dataDxfId="250" totalsRowDxfId="75">
      <calculatedColumnFormula>N65/COLUMNS(B65:M65)</calculatedColumnFormula>
      <totalsRowFormula>Table7[[#Totals],[Total]]/COLUMNS(Table7[[#Totals],[JAN]:[DEC]])</totalsRowFormula>
    </tableColumn>
  </tableColumns>
  <tableStyleInfo name="V42_ExpenseCategory2" showFirstColumn="1" showLastColumn="0" showRowStripes="0" showColumnStripes="1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76:O89" totalsRowCount="1" headerRowDxfId="249" dataDxfId="248" totalsRowDxfId="247" dataCellStyle="Comma">
  <tableColumns count="15">
    <tableColumn id="1" xr3:uid="{00000000-0010-0000-0600-000001000000}" name="ENTERTAINMENT" totalsRowFunction="custom" dataDxfId="246" totalsRowDxfId="245">
      <totalsRowFormula>"Total " &amp; Table8[[#Headers],[ENTERTAINMENT]]</totalsRowFormula>
    </tableColumn>
    <tableColumn id="2" xr3:uid="{00000000-0010-0000-0600-000002000000}" name="JAN" totalsRowFunction="sum" dataDxfId="244" totalsRowDxfId="243" dataCellStyle="Comma"/>
    <tableColumn id="3" xr3:uid="{00000000-0010-0000-0600-000003000000}" name="FEB" totalsRowFunction="sum" dataDxfId="242" totalsRowDxfId="241" dataCellStyle="Comma"/>
    <tableColumn id="4" xr3:uid="{00000000-0010-0000-0600-000004000000}" name="MAR" totalsRowFunction="sum" dataDxfId="240" totalsRowDxfId="239" dataCellStyle="Comma"/>
    <tableColumn id="5" xr3:uid="{00000000-0010-0000-0600-000005000000}" name="APR" totalsRowFunction="sum" dataDxfId="238" totalsRowDxfId="237" dataCellStyle="Comma"/>
    <tableColumn id="6" xr3:uid="{00000000-0010-0000-0600-000006000000}" name="MAY" totalsRowFunction="sum" dataDxfId="236" totalsRowDxfId="235" dataCellStyle="Comma"/>
    <tableColumn id="7" xr3:uid="{00000000-0010-0000-0600-000007000000}" name="JUN" totalsRowFunction="sum" dataDxfId="234" totalsRowDxfId="233" dataCellStyle="Comma"/>
    <tableColumn id="8" xr3:uid="{00000000-0010-0000-0600-000008000000}" name="JUL" totalsRowFunction="sum" dataDxfId="232" totalsRowDxfId="231" dataCellStyle="Comma"/>
    <tableColumn id="9" xr3:uid="{00000000-0010-0000-0600-000009000000}" name="AUG" totalsRowFunction="sum" dataDxfId="230" totalsRowDxfId="229" dataCellStyle="Comma"/>
    <tableColumn id="10" xr3:uid="{00000000-0010-0000-0600-00000A000000}" name="SEP" totalsRowFunction="sum" dataDxfId="228" totalsRowDxfId="227" dataCellStyle="Comma"/>
    <tableColumn id="11" xr3:uid="{00000000-0010-0000-0600-00000B000000}" name="OCT" totalsRowFunction="sum" dataDxfId="226" totalsRowDxfId="225" dataCellStyle="Comma"/>
    <tableColumn id="12" xr3:uid="{00000000-0010-0000-0600-00000C000000}" name="NOV" totalsRowFunction="sum" dataDxfId="224" totalsRowDxfId="223" dataCellStyle="Comma"/>
    <tableColumn id="13" xr3:uid="{00000000-0010-0000-0600-00000D000000}" name="DEC" totalsRowFunction="sum" dataDxfId="222" totalsRowDxfId="221" dataCellStyle="Comma"/>
    <tableColumn id="14" xr3:uid="{00000000-0010-0000-0600-00000E000000}" name="Total" totalsRowFunction="sum" dataDxfId="220" totalsRowDxfId="219">
      <calculatedColumnFormula>SUM(B77:M77)</calculatedColumnFormula>
    </tableColumn>
    <tableColumn id="15" xr3:uid="{00000000-0010-0000-0600-00000F000000}" name="Avg" totalsRowFunction="custom" dataDxfId="218" totalsRowDxfId="217">
      <calculatedColumnFormula>N77/COLUMNS(B77:M77)</calculatedColumnFormula>
      <totalsRowFormula>Table8[[#Totals],[Total]]/COLUMNS(Table8[[#Totals],[JAN]:[DEC]])</totalsRowFormula>
    </tableColumn>
  </tableColumns>
  <tableStyleInfo name="V42_ExpenseCategory2" showFirstColumn="1" showLastColumn="0" showRowStripes="0" showColumnStripes="1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91:O100" totalsRowCount="1" headerRowDxfId="216" dataDxfId="215" totalsRowDxfId="214" dataCellStyle="Comma">
  <tableColumns count="15">
    <tableColumn id="1" xr3:uid="{00000000-0010-0000-0700-000001000000}" name="SAVINGS / Investments" totalsRowFunction="custom" dataDxfId="213" totalsRowDxfId="14">
      <totalsRowFormula>"Total " &amp;Table9[[#Headers],[SAVINGS / Investments]]</totalsRowFormula>
    </tableColumn>
    <tableColumn id="2" xr3:uid="{00000000-0010-0000-0700-000002000000}" name="JAN" totalsRowFunction="sum" dataDxfId="212" totalsRowDxfId="13" dataCellStyle="Comma"/>
    <tableColumn id="3" xr3:uid="{00000000-0010-0000-0700-000003000000}" name="FEB" totalsRowFunction="sum" dataDxfId="211" totalsRowDxfId="12" dataCellStyle="Comma"/>
    <tableColumn id="4" xr3:uid="{00000000-0010-0000-0700-000004000000}" name="MAR" totalsRowFunction="sum" dataDxfId="210" totalsRowDxfId="11" dataCellStyle="Comma"/>
    <tableColumn id="5" xr3:uid="{00000000-0010-0000-0700-000005000000}" name="APR" totalsRowFunction="sum" dataDxfId="209" totalsRowDxfId="10" dataCellStyle="Comma"/>
    <tableColumn id="6" xr3:uid="{00000000-0010-0000-0700-000006000000}" name="MAY" totalsRowFunction="sum" dataDxfId="208" totalsRowDxfId="9" dataCellStyle="Comma"/>
    <tableColumn id="7" xr3:uid="{00000000-0010-0000-0700-000007000000}" name="JUN" totalsRowFunction="sum" dataDxfId="207" totalsRowDxfId="8" dataCellStyle="Comma"/>
    <tableColumn id="8" xr3:uid="{00000000-0010-0000-0700-000008000000}" name="JUL" totalsRowFunction="sum" dataDxfId="206" totalsRowDxfId="7" dataCellStyle="Comma"/>
    <tableColumn id="9" xr3:uid="{00000000-0010-0000-0700-000009000000}" name="AUG" totalsRowFunction="sum" dataDxfId="205" totalsRowDxfId="6" dataCellStyle="Comma"/>
    <tableColumn id="10" xr3:uid="{00000000-0010-0000-0700-00000A000000}" name="SEP" totalsRowFunction="sum" dataDxfId="204" totalsRowDxfId="5" dataCellStyle="Comma"/>
    <tableColumn id="11" xr3:uid="{00000000-0010-0000-0700-00000B000000}" name="OCT" totalsRowFunction="sum" dataDxfId="203" totalsRowDxfId="4" dataCellStyle="Comma"/>
    <tableColumn id="12" xr3:uid="{00000000-0010-0000-0700-00000C000000}" name="NOV" totalsRowFunction="sum" dataDxfId="202" totalsRowDxfId="3" dataCellStyle="Comma"/>
    <tableColumn id="13" xr3:uid="{00000000-0010-0000-0700-00000D000000}" name="DEC" totalsRowFunction="sum" dataDxfId="201" totalsRowDxfId="2" dataCellStyle="Comma"/>
    <tableColumn id="14" xr3:uid="{00000000-0010-0000-0700-00000E000000}" name="Total" totalsRowFunction="sum" dataDxfId="200" totalsRowDxfId="1">
      <calculatedColumnFormula>SUM(B92:M92)</calculatedColumnFormula>
    </tableColumn>
    <tableColumn id="15" xr3:uid="{00000000-0010-0000-0700-00000F000000}" name="Avg" totalsRowFunction="custom" dataDxfId="199" totalsRowDxfId="0">
      <calculatedColumnFormula>N92/COLUMNS(B92:M92)</calculatedColumnFormula>
      <totalsRowFormula>Table9[[#Totals],[Total]]/COLUMNS(Table9[[#Totals],[JAN]:[DEC]])</totalsRowFormula>
    </tableColumn>
  </tableColumns>
  <tableStyleInfo name="V42_ExpenseCategory2" showFirstColumn="1" showLastColumn="0" showRowStripes="0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102:O110" totalsRowCount="1" headerRowDxfId="198" dataDxfId="197" totalsRowDxfId="196" dataCellStyle="Comma">
  <tableColumns count="15">
    <tableColumn id="1" xr3:uid="{00000000-0010-0000-0800-000001000000}" name="Debts / Financing " totalsRowFunction="custom" dataDxfId="195" totalsRowDxfId="44">
      <totalsRowFormula>"Total " &amp; Table10[[#Headers],[Debts / Financing ]]</totalsRowFormula>
    </tableColumn>
    <tableColumn id="2" xr3:uid="{00000000-0010-0000-0800-000002000000}" name="JAN" totalsRowFunction="sum" dataDxfId="194" totalsRowDxfId="43" dataCellStyle="Comma"/>
    <tableColumn id="3" xr3:uid="{00000000-0010-0000-0800-000003000000}" name="FEB" totalsRowFunction="sum" dataDxfId="193" totalsRowDxfId="42" dataCellStyle="Comma"/>
    <tableColumn id="4" xr3:uid="{00000000-0010-0000-0800-000004000000}" name="MAR" totalsRowFunction="sum" dataDxfId="192" totalsRowDxfId="41" dataCellStyle="Comma"/>
    <tableColumn id="5" xr3:uid="{00000000-0010-0000-0800-000005000000}" name="APR" totalsRowFunction="sum" dataDxfId="191" totalsRowDxfId="40" dataCellStyle="Comma"/>
    <tableColumn id="6" xr3:uid="{00000000-0010-0000-0800-000006000000}" name="MAY" totalsRowFunction="sum" dataDxfId="190" totalsRowDxfId="39" dataCellStyle="Comma"/>
    <tableColumn id="7" xr3:uid="{00000000-0010-0000-0800-000007000000}" name="JUN" totalsRowFunction="sum" dataDxfId="189" totalsRowDxfId="38" dataCellStyle="Comma"/>
    <tableColumn id="8" xr3:uid="{00000000-0010-0000-0800-000008000000}" name="JUL" totalsRowFunction="sum" dataDxfId="188" totalsRowDxfId="37" dataCellStyle="Comma"/>
    <tableColumn id="9" xr3:uid="{00000000-0010-0000-0800-000009000000}" name="AUG" totalsRowFunction="sum" dataDxfId="187" totalsRowDxfId="36" dataCellStyle="Comma"/>
    <tableColumn id="10" xr3:uid="{00000000-0010-0000-0800-00000A000000}" name="SEP" totalsRowFunction="sum" dataDxfId="186" totalsRowDxfId="35" dataCellStyle="Comma"/>
    <tableColumn id="11" xr3:uid="{00000000-0010-0000-0800-00000B000000}" name="OCT" totalsRowFunction="sum" dataDxfId="185" totalsRowDxfId="34" dataCellStyle="Comma"/>
    <tableColumn id="12" xr3:uid="{00000000-0010-0000-0800-00000C000000}" name="NOV" totalsRowFunction="sum" dataDxfId="184" totalsRowDxfId="33" dataCellStyle="Comma"/>
    <tableColumn id="13" xr3:uid="{00000000-0010-0000-0800-00000D000000}" name="DEC" totalsRowFunction="sum" dataDxfId="183" totalsRowDxfId="32" dataCellStyle="Comma"/>
    <tableColumn id="14" xr3:uid="{00000000-0010-0000-0800-00000E000000}" name="Total" totalsRowFunction="sum" dataDxfId="182" totalsRowDxfId="31">
      <calculatedColumnFormula>SUM(B103:M103)</calculatedColumnFormula>
    </tableColumn>
    <tableColumn id="15" xr3:uid="{00000000-0010-0000-0800-00000F000000}" name="Avg" totalsRowFunction="custom" dataDxfId="181" totalsRowDxfId="30">
      <calculatedColumnFormula>N103/COLUMNS(B103:M103)</calculatedColumnFormula>
      <totalsRowFormula>Table10[[#Totals],[Total]]/COLUMNS(Table10[[#Totals],[JAN]:[DEC]])</totalsRowFormula>
    </tableColumn>
  </tableColumns>
  <tableStyleInfo name="V42_ExpenseCategory2" showFirstColumn="1" showLastColumn="0" showRowStripes="0" showColumnStripes="1"/>
</table>
</file>

<file path=xl/theme/theme1.xml><?xml version="1.0" encoding="utf-8"?>
<a:theme xmlns:a="http://schemas.openxmlformats.org/drawingml/2006/main" name="Vertex42">
  <a:themeElements>
    <a:clrScheme name="Office42">
      <a:dk1>
        <a:sysClr val="windowText" lastClr="000000"/>
      </a:dk1>
      <a:lt1>
        <a:srgbClr val="FFFFFF"/>
      </a:lt1>
      <a:dk2>
        <a:srgbClr val="283C61"/>
      </a:dk2>
      <a:lt2>
        <a:srgbClr val="F1EBDD"/>
      </a:lt2>
      <a:accent1>
        <a:srgbClr val="597CBB"/>
      </a:accent1>
      <a:accent2>
        <a:srgbClr val="BB5965"/>
      </a:accent2>
      <a:accent3>
        <a:srgbClr val="6CBB59"/>
      </a:accent3>
      <a:accent4>
        <a:srgbClr val="BB7C59"/>
      </a:accent4>
      <a:accent5>
        <a:srgbClr val="9F59BB"/>
      </a:accent5>
      <a:accent6>
        <a:srgbClr val="59BBAB"/>
      </a:accent6>
      <a:hlink>
        <a:srgbClr val="BFD9B6"/>
      </a:hlink>
      <a:folHlink>
        <a:srgbClr val="D0B6D9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table" Target="../tables/table10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5" Type="http://schemas.openxmlformats.org/officeDocument/2006/relationships/comments" Target="../comments1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9"/>
  <sheetViews>
    <sheetView showGridLines="0" tabSelected="1" zoomScale="200" workbookViewId="0">
      <pane ySplit="9" topLeftCell="A88" activePane="bottomLeft" state="frozen"/>
      <selection activeCell="E1" sqref="E1"/>
      <selection pane="bottomLeft" activeCell="C98" sqref="C98"/>
    </sheetView>
  </sheetViews>
  <sheetFormatPr baseColWidth="10" defaultColWidth="9" defaultRowHeight="13" x14ac:dyDescent="0.15"/>
  <cols>
    <col min="1" max="1" width="19.83203125" style="1" customWidth="1"/>
    <col min="2" max="13" width="6.1640625" style="1" customWidth="1"/>
    <col min="14" max="14" width="7.33203125" style="1" customWidth="1"/>
    <col min="15" max="15" width="6.1640625" style="1" customWidth="1"/>
    <col min="16" max="16" width="9" style="1"/>
    <col min="17" max="17" width="12.33203125" style="1" customWidth="1"/>
    <col min="18" max="16384" width="9" style="1"/>
  </cols>
  <sheetData>
    <row r="1" spans="1:17" ht="26" customHeight="1" x14ac:dyDescent="0.15">
      <c r="A1" s="32" t="s">
        <v>72</v>
      </c>
      <c r="B1" s="12"/>
      <c r="C1" s="12"/>
      <c r="D1" s="12"/>
      <c r="E1" s="12"/>
      <c r="F1" s="12"/>
      <c r="G1" s="12"/>
      <c r="H1" s="11"/>
      <c r="I1" s="11"/>
      <c r="J1" s="11"/>
      <c r="K1" s="11"/>
      <c r="L1" s="11"/>
      <c r="M1" s="11"/>
      <c r="N1" s="11"/>
      <c r="O1" s="11"/>
    </row>
    <row r="2" spans="1:17" x14ac:dyDescent="0.15">
      <c r="A2" s="33"/>
      <c r="B2" s="13"/>
      <c r="C2" s="13"/>
      <c r="D2" s="13"/>
      <c r="E2" s="13"/>
      <c r="F2" s="13"/>
      <c r="G2" s="13"/>
      <c r="H2" s="2"/>
      <c r="I2" s="2"/>
      <c r="J2" s="2"/>
      <c r="K2" s="2"/>
      <c r="L2" s="2"/>
      <c r="M2" s="2"/>
      <c r="N2" s="2"/>
      <c r="O2" s="34"/>
    </row>
    <row r="3" spans="1:17" x14ac:dyDescent="0.15">
      <c r="A3" s="2"/>
      <c r="O3" s="35"/>
    </row>
    <row r="4" spans="1:17" x14ac:dyDescent="0.15">
      <c r="A4" s="3" t="s">
        <v>14</v>
      </c>
      <c r="B4" s="4"/>
      <c r="M4" s="5" t="s">
        <v>30</v>
      </c>
    </row>
    <row r="5" spans="1:17" s="21" customFormat="1" x14ac:dyDescent="0.15">
      <c r="A5" s="19"/>
      <c r="B5" s="20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0" t="s">
        <v>24</v>
      </c>
      <c r="L5" s="20" t="s">
        <v>25</v>
      </c>
      <c r="M5" s="20" t="s">
        <v>26</v>
      </c>
      <c r="N5" s="19" t="s">
        <v>27</v>
      </c>
      <c r="O5" s="19" t="s">
        <v>32</v>
      </c>
    </row>
    <row r="6" spans="1:17" s="21" customFormat="1" x14ac:dyDescent="0.15">
      <c r="A6" s="6" t="s">
        <v>1</v>
      </c>
      <c r="B6" s="7">
        <f>Table2[[#Totals],[JAN]]</f>
        <v>45000</v>
      </c>
      <c r="C6" s="7">
        <f>Table2[[#Totals],[FEB]]</f>
        <v>0</v>
      </c>
      <c r="D6" s="7">
        <f>Table2[[#Totals],[MAR]]</f>
        <v>0</v>
      </c>
      <c r="E6" s="7">
        <f>Table2[[#Totals],[APR]]</f>
        <v>0</v>
      </c>
      <c r="F6" s="7">
        <f>Table2[[#Totals],[MAY]]</f>
        <v>0</v>
      </c>
      <c r="G6" s="7">
        <f>Table2[[#Totals],[JUN]]</f>
        <v>0</v>
      </c>
      <c r="H6" s="7">
        <f>Table2[[#Totals],[JUL]]</f>
        <v>0</v>
      </c>
      <c r="I6" s="7">
        <f>Table2[[#Totals],[AUG]]</f>
        <v>0</v>
      </c>
      <c r="J6" s="7">
        <f>Table2[[#Totals],[SEP]]</f>
        <v>0</v>
      </c>
      <c r="K6" s="7">
        <f>Table2[[#Totals],[OCT]]</f>
        <v>0</v>
      </c>
      <c r="L6" s="7">
        <f>Table2[[#Totals],[NOV]]</f>
        <v>0</v>
      </c>
      <c r="M6" s="7">
        <f>Table2[[#Totals],[DEC]]</f>
        <v>0</v>
      </c>
      <c r="N6" s="22">
        <f>SUM(B6:M6)</f>
        <v>45000</v>
      </c>
      <c r="O6" s="22">
        <f>N6/COLUMNS(B6:M6)</f>
        <v>3750</v>
      </c>
    </row>
    <row r="7" spans="1:17" s="21" customFormat="1" x14ac:dyDescent="0.15">
      <c r="A7" s="8" t="s">
        <v>2</v>
      </c>
      <c r="B7" s="9">
        <f>SUM(Table3[[#Totals],[JAN]],Table4[[#Totals],[JAN]],Table5[[#Totals],[JAN]],Table6[[#Totals],[JAN]],Table7[[#Totals],[JAN]],Table8[[#Totals],[JAN]],Table9[[#Totals],[JAN]],Table10[[#Totals],[JAN]],Table11[[#Totals],[JAN]],Table12[[#Totals],[JAN]])</f>
        <v>30672</v>
      </c>
      <c r="C7" s="9">
        <f>SUM(Table3[[#Totals],[FEB]],Table4[[#Totals],[FEB]],Table5[[#Totals],[FEB]],Table6[[#Totals],[FEB]],Table7[[#Totals],[FEB]],Table8[[#Totals],[FEB]],Table9[[#Totals],[FEB]],Table10[[#Totals],[FEB]],Table11[[#Totals],[FEB]],Table12[[#Totals],[FEB]])</f>
        <v>0</v>
      </c>
      <c r="D7" s="9">
        <f>SUM(Table3[[#Totals],[MAR]],Table4[[#Totals],[MAR]],Table5[[#Totals],[MAR]],Table6[[#Totals],[MAR]],Table7[[#Totals],[MAR]],Table8[[#Totals],[MAR]],Table9[[#Totals],[MAR]],Table10[[#Totals],[MAR]],Table11[[#Totals],[MAR]],Table12[[#Totals],[MAR]])</f>
        <v>0</v>
      </c>
      <c r="E7" s="9">
        <f>SUM(Table3[[#Totals],[APR]],Table4[[#Totals],[APR]],Table5[[#Totals],[APR]],Table6[[#Totals],[APR]],Table7[[#Totals],[APR]],Table8[[#Totals],[APR]],Table9[[#Totals],[APR]],Table10[[#Totals],[APR]],Table11[[#Totals],[APR]],Table12[[#Totals],[APR]])</f>
        <v>0</v>
      </c>
      <c r="F7" s="9">
        <f>SUM(Table3[[#Totals],[MAY]],Table4[[#Totals],[MAY]],Table5[[#Totals],[MAY]],Table6[[#Totals],[MAY]],Table7[[#Totals],[MAY]],Table8[[#Totals],[MAY]],Table9[[#Totals],[MAY]],Table10[[#Totals],[MAY]],Table11[[#Totals],[MAY]],Table12[[#Totals],[MAY]])</f>
        <v>0</v>
      </c>
      <c r="G7" s="9">
        <f>SUM(Table3[[#Totals],[JUN]],Table4[[#Totals],[JUN]],Table5[[#Totals],[JUN]],Table6[[#Totals],[JUN]],Table7[[#Totals],[JUN]],Table8[[#Totals],[JUN]],Table9[[#Totals],[JUN]],Table10[[#Totals],[JUN]],Table11[[#Totals],[JUN]],Table12[[#Totals],[JUN]])</f>
        <v>0</v>
      </c>
      <c r="H7" s="9">
        <f>SUM(Table3[[#Totals],[JUL]],Table4[[#Totals],[JUL]],Table5[[#Totals],[JUL]],Table6[[#Totals],[JUL]],Table7[[#Totals],[JUL]],Table8[[#Totals],[JUL]],Table9[[#Totals],[JUL]],Table10[[#Totals],[JUL]],Table11[[#Totals],[JUL]],Table12[[#Totals],[JUL]])</f>
        <v>0</v>
      </c>
      <c r="I7" s="9">
        <f>SUM(Table3[[#Totals],[AUG]],Table4[[#Totals],[AUG]],Table5[[#Totals],[AUG]],Table6[[#Totals],[AUG]],Table7[[#Totals],[AUG]],Table8[[#Totals],[AUG]],Table9[[#Totals],[AUG]],Table10[[#Totals],[AUG]],Table11[[#Totals],[AUG]],Table12[[#Totals],[AUG]])</f>
        <v>0</v>
      </c>
      <c r="J7" s="9">
        <f>SUM(Table3[[#Totals],[SEP]],Table4[[#Totals],[SEP]],Table5[[#Totals],[SEP]],Table6[[#Totals],[SEP]],Table7[[#Totals],[SEP]],Table8[[#Totals],[SEP]],Table9[[#Totals],[SEP]],Table10[[#Totals],[SEP]],Table11[[#Totals],[SEP]],Table12[[#Totals],[SEP]])</f>
        <v>0</v>
      </c>
      <c r="K7" s="9">
        <f>SUM(Table3[[#Totals],[OCT]],Table4[[#Totals],[OCT]],Table5[[#Totals],[OCT]],Table6[[#Totals],[OCT]],Table7[[#Totals],[OCT]],Table8[[#Totals],[OCT]],Table9[[#Totals],[OCT]],Table10[[#Totals],[OCT]],Table11[[#Totals],[OCT]],Table12[[#Totals],[OCT]])</f>
        <v>0</v>
      </c>
      <c r="L7" s="9">
        <f>SUM(Table3[[#Totals],[NOV]],Table4[[#Totals],[NOV]],Table5[[#Totals],[NOV]],Table6[[#Totals],[NOV]],Table7[[#Totals],[NOV]],Table8[[#Totals],[NOV]],Table9[[#Totals],[NOV]],Table10[[#Totals],[NOV]],Table11[[#Totals],[NOV]],Table12[[#Totals],[NOV]])</f>
        <v>0</v>
      </c>
      <c r="M7" s="9">
        <f>SUM(Table3[[#Totals],[DEC]],Table4[[#Totals],[DEC]],Table5[[#Totals],[DEC]],Table6[[#Totals],[DEC]],Table7[[#Totals],[DEC]],Table8[[#Totals],[DEC]],Table9[[#Totals],[DEC]],Table10[[#Totals],[DEC]],Table11[[#Totals],[DEC]],Table12[[#Totals],[DEC]])</f>
        <v>0</v>
      </c>
      <c r="N7" s="22">
        <f>SUM(B7:M7)</f>
        <v>30672</v>
      </c>
      <c r="O7" s="22">
        <f>N7/COLUMNS(B7:M7)</f>
        <v>2556</v>
      </c>
    </row>
    <row r="8" spans="1:17" s="21" customFormat="1" ht="14" thickBot="1" x14ac:dyDescent="0.2">
      <c r="A8" s="10" t="s">
        <v>33</v>
      </c>
      <c r="B8" s="14">
        <f t="shared" ref="B8:M8" si="0">B6-B7</f>
        <v>14328</v>
      </c>
      <c r="C8" s="14">
        <f t="shared" si="0"/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>SUM(B8:M8)</f>
        <v>14328</v>
      </c>
      <c r="O8" s="14">
        <f>N8/COLUMNS(B8:M8)</f>
        <v>1194</v>
      </c>
    </row>
    <row r="9" spans="1:17" s="21" customFormat="1" ht="14" thickTop="1" x14ac:dyDescent="0.15">
      <c r="A9" s="6" t="s">
        <v>28</v>
      </c>
      <c r="B9" s="7">
        <f>B6-B7+B4</f>
        <v>14328</v>
      </c>
      <c r="C9" s="7">
        <f t="shared" ref="C9:M9" si="1">B9+C6-C7</f>
        <v>14328</v>
      </c>
      <c r="D9" s="7">
        <f t="shared" si="1"/>
        <v>14328</v>
      </c>
      <c r="E9" s="7">
        <f t="shared" si="1"/>
        <v>14328</v>
      </c>
      <c r="F9" s="7">
        <f t="shared" si="1"/>
        <v>14328</v>
      </c>
      <c r="G9" s="7">
        <f t="shared" si="1"/>
        <v>14328</v>
      </c>
      <c r="H9" s="7">
        <f t="shared" si="1"/>
        <v>14328</v>
      </c>
      <c r="I9" s="7">
        <f t="shared" si="1"/>
        <v>14328</v>
      </c>
      <c r="J9" s="7">
        <f t="shared" si="1"/>
        <v>14328</v>
      </c>
      <c r="K9" s="7">
        <f t="shared" si="1"/>
        <v>14328</v>
      </c>
      <c r="L9" s="7">
        <f t="shared" si="1"/>
        <v>14328</v>
      </c>
      <c r="M9" s="7">
        <f t="shared" si="1"/>
        <v>14328</v>
      </c>
      <c r="N9" s="23"/>
      <c r="O9" s="23"/>
    </row>
    <row r="10" spans="1:17" s="21" customFormat="1" x14ac:dyDescent="0.15"/>
    <row r="11" spans="1:17" s="18" customFormat="1" ht="14" x14ac:dyDescent="0.15">
      <c r="A11" s="15" t="s">
        <v>0</v>
      </c>
      <c r="B11" s="16" t="s">
        <v>15</v>
      </c>
      <c r="C11" s="16" t="s">
        <v>16</v>
      </c>
      <c r="D11" s="16" t="s">
        <v>17</v>
      </c>
      <c r="E11" s="16" t="s">
        <v>18</v>
      </c>
      <c r="F11" s="16" t="s">
        <v>19</v>
      </c>
      <c r="G11" s="16" t="s">
        <v>20</v>
      </c>
      <c r="H11" s="16" t="s">
        <v>21</v>
      </c>
      <c r="I11" s="16" t="s">
        <v>22</v>
      </c>
      <c r="J11" s="16" t="s">
        <v>23</v>
      </c>
      <c r="K11" s="16" t="s">
        <v>24</v>
      </c>
      <c r="L11" s="16" t="s">
        <v>25</v>
      </c>
      <c r="M11" s="16" t="s">
        <v>26</v>
      </c>
      <c r="N11" s="17" t="s">
        <v>27</v>
      </c>
      <c r="O11" s="17" t="s">
        <v>32</v>
      </c>
      <c r="P11" s="31"/>
    </row>
    <row r="12" spans="1:17" s="18" customFormat="1" ht="12" x14ac:dyDescent="0.15">
      <c r="A12" s="24" t="s">
        <v>92</v>
      </c>
      <c r="B12" s="25">
        <v>45000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30">
        <f t="shared" ref="N12:N18" si="2">SUM(B12:M12)</f>
        <v>45000</v>
      </c>
      <c r="O12" s="30">
        <f t="shared" ref="O12:O18" si="3">N12/COLUMNS(B12:M12)</f>
        <v>3750</v>
      </c>
    </row>
    <row r="13" spans="1:17" s="18" customFormat="1" ht="12" x14ac:dyDescent="0.15">
      <c r="A13" s="24" t="s">
        <v>93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30">
        <f t="shared" si="2"/>
        <v>0</v>
      </c>
      <c r="O13" s="30">
        <f t="shared" si="3"/>
        <v>0</v>
      </c>
      <c r="P13" s="29"/>
    </row>
    <row r="14" spans="1:17" s="18" customFormat="1" ht="12" x14ac:dyDescent="0.15">
      <c r="A14" s="24" t="s">
        <v>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>
        <f t="shared" si="2"/>
        <v>0</v>
      </c>
      <c r="O14" s="30">
        <f t="shared" si="3"/>
        <v>0</v>
      </c>
      <c r="P14" s="29"/>
    </row>
    <row r="15" spans="1:17" s="18" customFormat="1" ht="14" x14ac:dyDescent="0.15">
      <c r="A15" s="24" t="s">
        <v>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30">
        <f t="shared" si="2"/>
        <v>0</v>
      </c>
      <c r="O15" s="30">
        <f t="shared" si="3"/>
        <v>0</v>
      </c>
      <c r="Q15"/>
    </row>
    <row r="16" spans="1:17" s="18" customFormat="1" ht="12" x14ac:dyDescent="0.15">
      <c r="A16" s="24" t="s">
        <v>31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30">
        <f t="shared" si="2"/>
        <v>0</v>
      </c>
      <c r="O16" s="30">
        <f t="shared" si="3"/>
        <v>0</v>
      </c>
    </row>
    <row r="17" spans="1:20" s="18" customFormat="1" ht="12" x14ac:dyDescent="0.15">
      <c r="A17" s="24" t="s">
        <v>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30">
        <f t="shared" si="2"/>
        <v>0</v>
      </c>
      <c r="O17" s="30">
        <f t="shared" si="3"/>
        <v>0</v>
      </c>
    </row>
    <row r="18" spans="1:20" s="18" customFormat="1" ht="12" x14ac:dyDescent="0.15">
      <c r="A18" s="24" t="s">
        <v>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30">
        <f t="shared" si="2"/>
        <v>0</v>
      </c>
      <c r="O18" s="30">
        <f t="shared" si="3"/>
        <v>0</v>
      </c>
    </row>
    <row r="19" spans="1:20" s="18" customFormat="1" ht="12" x14ac:dyDescent="0.15">
      <c r="A19" s="27" t="str">
        <f>"Total " &amp; Table2[[#Headers],[INCOME]]</f>
        <v>Total INCOME</v>
      </c>
      <c r="B19" s="28">
        <f>SUBTOTAL(109,Table2[JAN])</f>
        <v>45000</v>
      </c>
      <c r="C19" s="28">
        <f>SUBTOTAL(109,Table2[FEB])</f>
        <v>0</v>
      </c>
      <c r="D19" s="28">
        <f>SUBTOTAL(109,Table2[MAR])</f>
        <v>0</v>
      </c>
      <c r="E19" s="28">
        <f>SUBTOTAL(109,Table2[APR])</f>
        <v>0</v>
      </c>
      <c r="F19" s="28">
        <f>SUBTOTAL(109,Table2[MAY])</f>
        <v>0</v>
      </c>
      <c r="G19" s="28">
        <f>SUBTOTAL(109,Table2[JUN])</f>
        <v>0</v>
      </c>
      <c r="H19" s="28">
        <f>SUBTOTAL(109,Table2[JUL])</f>
        <v>0</v>
      </c>
      <c r="I19" s="28">
        <f>SUBTOTAL(109,Table2[AUG])</f>
        <v>0</v>
      </c>
      <c r="J19" s="28">
        <f>SUBTOTAL(109,Table2[SEP])</f>
        <v>0</v>
      </c>
      <c r="K19" s="28">
        <f>SUBTOTAL(109,Table2[OCT])</f>
        <v>0</v>
      </c>
      <c r="L19" s="28">
        <f>SUBTOTAL(109,Table2[NOV])</f>
        <v>0</v>
      </c>
      <c r="M19" s="28">
        <f>SUBTOTAL(109,Table2[DEC])</f>
        <v>0</v>
      </c>
      <c r="N19" s="26">
        <f>SUBTOTAL(109,Table2[Total])</f>
        <v>45000</v>
      </c>
      <c r="O19" s="26">
        <f>Table2[[#Totals],[Total]]/COLUMNS(Table2[[#Totals],[JAN]:[DEC]])</f>
        <v>3750</v>
      </c>
    </row>
    <row r="20" spans="1:20" s="18" customFormat="1" ht="11" x14ac:dyDescent="0.15"/>
    <row r="21" spans="1:20" s="18" customFormat="1" ht="14" x14ac:dyDescent="0.15">
      <c r="A21" s="15" t="s">
        <v>59</v>
      </c>
      <c r="B21" s="16" t="s">
        <v>15</v>
      </c>
      <c r="C21" s="16" t="s">
        <v>16</v>
      </c>
      <c r="D21" s="16" t="s">
        <v>17</v>
      </c>
      <c r="E21" s="16" t="s">
        <v>18</v>
      </c>
      <c r="F21" s="16" t="s">
        <v>19</v>
      </c>
      <c r="G21" s="16" t="s">
        <v>20</v>
      </c>
      <c r="H21" s="16" t="s">
        <v>21</v>
      </c>
      <c r="I21" s="16" t="s">
        <v>22</v>
      </c>
      <c r="J21" s="16" t="s">
        <v>23</v>
      </c>
      <c r="K21" s="16" t="s">
        <v>24</v>
      </c>
      <c r="L21" s="16" t="s">
        <v>25</v>
      </c>
      <c r="M21" s="16" t="s">
        <v>26</v>
      </c>
      <c r="N21" s="17" t="s">
        <v>27</v>
      </c>
      <c r="O21" s="17" t="s">
        <v>32</v>
      </c>
      <c r="P21" s="31"/>
    </row>
    <row r="22" spans="1:20" s="18" customFormat="1" ht="12" x14ac:dyDescent="0.15">
      <c r="A22" s="24" t="s">
        <v>61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30">
        <f>SUM(B22:M22)</f>
        <v>0</v>
      </c>
      <c r="O22" s="30">
        <f t="shared" ref="O22:O34" si="4">N22/COLUMNS(B22:M22)</f>
        <v>0</v>
      </c>
      <c r="Q22" s="45"/>
      <c r="R22" s="45"/>
    </row>
    <row r="23" spans="1:20" s="18" customFormat="1" ht="12" x14ac:dyDescent="0.15">
      <c r="A23" s="24" t="s">
        <v>60</v>
      </c>
      <c r="B23" s="25">
        <v>1900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30">
        <f t="shared" ref="N23:N34" si="5">SUM(B23:M23)</f>
        <v>1900</v>
      </c>
      <c r="O23" s="30">
        <f t="shared" si="4"/>
        <v>158.33333333333334</v>
      </c>
    </row>
    <row r="24" spans="1:20" s="18" customFormat="1" ht="12" x14ac:dyDescent="0.15">
      <c r="A24" s="24" t="s">
        <v>64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30">
        <f t="shared" si="5"/>
        <v>0</v>
      </c>
      <c r="O24" s="30">
        <f t="shared" si="4"/>
        <v>0</v>
      </c>
    </row>
    <row r="25" spans="1:20" s="18" customFormat="1" ht="12" x14ac:dyDescent="0.15">
      <c r="A25" s="24" t="s">
        <v>68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30">
        <f t="shared" si="5"/>
        <v>0</v>
      </c>
      <c r="O25" s="30">
        <f t="shared" si="4"/>
        <v>0</v>
      </c>
      <c r="T25" s="29"/>
    </row>
    <row r="26" spans="1:20" s="18" customFormat="1" ht="12" x14ac:dyDescent="0.1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30">
        <f t="shared" si="5"/>
        <v>0</v>
      </c>
      <c r="O26" s="30">
        <f t="shared" si="4"/>
        <v>0</v>
      </c>
    </row>
    <row r="27" spans="1:20" s="18" customFormat="1" ht="12" x14ac:dyDescent="0.15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30">
        <f t="shared" si="5"/>
        <v>0</v>
      </c>
      <c r="O27" s="30">
        <f t="shared" si="4"/>
        <v>0</v>
      </c>
    </row>
    <row r="28" spans="1:20" s="18" customFormat="1" ht="12" x14ac:dyDescent="0.1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30">
        <f t="shared" si="5"/>
        <v>0</v>
      </c>
      <c r="O28" s="30">
        <f t="shared" si="4"/>
        <v>0</v>
      </c>
    </row>
    <row r="29" spans="1:20" s="18" customFormat="1" ht="12" x14ac:dyDescent="0.15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30">
        <f t="shared" si="5"/>
        <v>0</v>
      </c>
      <c r="O29" s="30">
        <f t="shared" si="4"/>
        <v>0</v>
      </c>
    </row>
    <row r="30" spans="1:20" s="18" customFormat="1" ht="12" x14ac:dyDescent="0.1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30">
        <f t="shared" si="5"/>
        <v>0</v>
      </c>
      <c r="O30" s="30">
        <f t="shared" si="4"/>
        <v>0</v>
      </c>
    </row>
    <row r="31" spans="1:20" s="18" customFormat="1" ht="12" x14ac:dyDescent="0.1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30">
        <f t="shared" si="5"/>
        <v>0</v>
      </c>
      <c r="O31" s="30">
        <f t="shared" si="4"/>
        <v>0</v>
      </c>
    </row>
    <row r="32" spans="1:20" s="18" customFormat="1" ht="12" x14ac:dyDescent="0.1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30">
        <f t="shared" si="5"/>
        <v>0</v>
      </c>
      <c r="O32" s="30">
        <f t="shared" si="4"/>
        <v>0</v>
      </c>
    </row>
    <row r="33" spans="1:18" s="18" customFormat="1" ht="12" x14ac:dyDescent="0.1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30">
        <f t="shared" si="5"/>
        <v>0</v>
      </c>
      <c r="O33" s="30">
        <f t="shared" si="4"/>
        <v>0</v>
      </c>
    </row>
    <row r="34" spans="1:18" s="18" customFormat="1" ht="12" x14ac:dyDescent="0.15">
      <c r="A34" s="24" t="s">
        <v>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30">
        <f t="shared" si="5"/>
        <v>0</v>
      </c>
      <c r="O34" s="30">
        <f t="shared" si="4"/>
        <v>0</v>
      </c>
    </row>
    <row r="35" spans="1:18" s="18" customFormat="1" ht="12" x14ac:dyDescent="0.15">
      <c r="A35" s="27" t="str">
        <f>"Total "&amp;Table3[[#Headers],[Home Expenses]]</f>
        <v>Total Home Expenses</v>
      </c>
      <c r="B35" s="28">
        <f>SUBTOTAL(109,Table3[JAN])</f>
        <v>1900</v>
      </c>
      <c r="C35" s="28">
        <f>SUBTOTAL(109,Table3[FEB])</f>
        <v>0</v>
      </c>
      <c r="D35" s="28">
        <f>SUBTOTAL(109,Table3[MAR])</f>
        <v>0</v>
      </c>
      <c r="E35" s="28">
        <f>SUBTOTAL(109,Table3[APR])</f>
        <v>0</v>
      </c>
      <c r="F35" s="28">
        <f>SUBTOTAL(109,Table3[MAY])</f>
        <v>0</v>
      </c>
      <c r="G35" s="28">
        <f>SUBTOTAL(109,Table3[JUN])</f>
        <v>0</v>
      </c>
      <c r="H35" s="28">
        <f>SUBTOTAL(109,Table3[JUL])</f>
        <v>0</v>
      </c>
      <c r="I35" s="28">
        <f>SUBTOTAL(109,Table3[AUG])</f>
        <v>0</v>
      </c>
      <c r="J35" s="28">
        <f>SUBTOTAL(109,Table3[SEP])</f>
        <v>0</v>
      </c>
      <c r="K35" s="28">
        <f>SUBTOTAL(109,Table3[OCT])</f>
        <v>0</v>
      </c>
      <c r="L35" s="28">
        <f>SUBTOTAL(109,Table3[NOV])</f>
        <v>0</v>
      </c>
      <c r="M35" s="28">
        <f>SUBTOTAL(109,Table3[DEC])</f>
        <v>0</v>
      </c>
      <c r="N35" s="26">
        <f>SUBTOTAL(109,Table3[Total])</f>
        <v>1900</v>
      </c>
      <c r="O35" s="26">
        <f>Table3[[#Totals],[Total]]/COLUMNS(Table3[[#Totals],[JAN]:[DEC]])</f>
        <v>158.33333333333334</v>
      </c>
    </row>
    <row r="36" spans="1:18" s="18" customFormat="1" ht="11" x14ac:dyDescent="0.15"/>
    <row r="37" spans="1:18" s="18" customFormat="1" ht="14" x14ac:dyDescent="0.15">
      <c r="A37" s="15" t="s">
        <v>8</v>
      </c>
      <c r="B37" s="16" t="s">
        <v>15</v>
      </c>
      <c r="C37" s="16" t="s">
        <v>16</v>
      </c>
      <c r="D37" s="16" t="s">
        <v>17</v>
      </c>
      <c r="E37" s="16" t="s">
        <v>18</v>
      </c>
      <c r="F37" s="16" t="s">
        <v>19</v>
      </c>
      <c r="G37" s="16" t="s">
        <v>20</v>
      </c>
      <c r="H37" s="16" t="s">
        <v>21</v>
      </c>
      <c r="I37" s="16" t="s">
        <v>22</v>
      </c>
      <c r="J37" s="16" t="s">
        <v>23</v>
      </c>
      <c r="K37" s="16" t="s">
        <v>24</v>
      </c>
      <c r="L37" s="16" t="s">
        <v>25</v>
      </c>
      <c r="M37" s="16" t="s">
        <v>26</v>
      </c>
      <c r="N37" s="17" t="s">
        <v>27</v>
      </c>
      <c r="O37" s="17" t="s">
        <v>32</v>
      </c>
      <c r="P37" s="31"/>
    </row>
    <row r="38" spans="1:18" s="18" customFormat="1" ht="12" x14ac:dyDescent="0.15">
      <c r="A38" s="24" t="s">
        <v>45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30">
        <f>SUM(B38:M38)</f>
        <v>0</v>
      </c>
      <c r="O38" s="30">
        <f t="shared" ref="O38:O43" si="6">N38/COLUMNS(B38:M38)</f>
        <v>0</v>
      </c>
    </row>
    <row r="39" spans="1:18" s="18" customFormat="1" ht="12" x14ac:dyDescent="0.15">
      <c r="A39" s="24" t="s">
        <v>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30">
        <f t="shared" ref="N39:N99" si="7">SUM(B39:M39)</f>
        <v>0</v>
      </c>
      <c r="O39" s="30">
        <f t="shared" si="6"/>
        <v>0</v>
      </c>
      <c r="Q39" s="45"/>
      <c r="R39" s="45"/>
    </row>
    <row r="40" spans="1:18" s="18" customFormat="1" ht="12" x14ac:dyDescent="0.15">
      <c r="A40" s="24" t="s">
        <v>118</v>
      </c>
      <c r="B40" s="25">
        <v>3500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30">
        <f t="shared" si="7"/>
        <v>3500</v>
      </c>
      <c r="O40" s="30">
        <f t="shared" si="6"/>
        <v>291.66666666666669</v>
      </c>
    </row>
    <row r="41" spans="1:18" s="18" customFormat="1" ht="12" x14ac:dyDescent="0.15">
      <c r="A41" s="24" t="s">
        <v>36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30">
        <f t="shared" si="7"/>
        <v>0</v>
      </c>
      <c r="O41" s="30">
        <f t="shared" si="6"/>
        <v>0</v>
      </c>
      <c r="Q41" s="45"/>
      <c r="R41" s="45"/>
    </row>
    <row r="42" spans="1:18" s="18" customFormat="1" ht="12" x14ac:dyDescent="0.15">
      <c r="A42" s="24" t="s">
        <v>70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30">
        <f t="shared" si="7"/>
        <v>0</v>
      </c>
      <c r="O42" s="30">
        <f t="shared" si="6"/>
        <v>0</v>
      </c>
    </row>
    <row r="43" spans="1:18" s="18" customFormat="1" ht="12" x14ac:dyDescent="0.15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30">
        <f t="shared" si="7"/>
        <v>0</v>
      </c>
      <c r="O43" s="30">
        <f t="shared" si="6"/>
        <v>0</v>
      </c>
    </row>
    <row r="44" spans="1:18" s="18" customFormat="1" ht="12" x14ac:dyDescent="0.15">
      <c r="A44" s="24" t="s">
        <v>7</v>
      </c>
      <c r="B44" s="25">
        <v>500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30">
        <f t="shared" si="7"/>
        <v>500</v>
      </c>
      <c r="O44" s="30">
        <f>N44/COLUMNS(B44:M44)</f>
        <v>41.666666666666664</v>
      </c>
    </row>
    <row r="45" spans="1:18" s="18" customFormat="1" ht="12" x14ac:dyDescent="0.15">
      <c r="A45" s="27" t="str">
        <f>"Total "&amp;Table4[[#Headers],[TRANSPORTATION]]</f>
        <v>Total TRANSPORTATION</v>
      </c>
      <c r="B45" s="28">
        <f>SUBTOTAL(109,Table4[JAN])</f>
        <v>4000</v>
      </c>
      <c r="C45" s="28">
        <f>SUBTOTAL(109,Table4[FEB])</f>
        <v>0</v>
      </c>
      <c r="D45" s="28">
        <f>SUBTOTAL(109,Table4[MAR])</f>
        <v>0</v>
      </c>
      <c r="E45" s="28">
        <f>SUBTOTAL(109,Table4[APR])</f>
        <v>0</v>
      </c>
      <c r="F45" s="28">
        <f>SUBTOTAL(109,Table4[MAY])</f>
        <v>0</v>
      </c>
      <c r="G45" s="28">
        <f>SUBTOTAL(109,Table4[JUN])</f>
        <v>0</v>
      </c>
      <c r="H45" s="28">
        <f>SUBTOTAL(109,Table4[JUL])</f>
        <v>0</v>
      </c>
      <c r="I45" s="28">
        <f>SUBTOTAL(109,Table4[AUG])</f>
        <v>0</v>
      </c>
      <c r="J45" s="28">
        <f>SUBTOTAL(109,Table4[SEP])</f>
        <v>0</v>
      </c>
      <c r="K45" s="28">
        <f>SUBTOTAL(109,Table4[OCT])</f>
        <v>0</v>
      </c>
      <c r="L45" s="28">
        <f>SUBTOTAL(109,Table4[NOV])</f>
        <v>0</v>
      </c>
      <c r="M45" s="28">
        <f>SUBTOTAL(109,Table4[DEC])</f>
        <v>0</v>
      </c>
      <c r="N45" s="26">
        <f>SUBTOTAL(109,Table4[Total])</f>
        <v>4000</v>
      </c>
      <c r="O45" s="26">
        <f>Table4[[#Totals],[Total]]/COLUMNS(Table4[[#Totals],[JAN]:[DEC]])</f>
        <v>333.33333333333331</v>
      </c>
    </row>
    <row r="46" spans="1:18" s="18" customFormat="1" ht="11" x14ac:dyDescent="0.15">
      <c r="N46" s="29"/>
      <c r="O46" s="29"/>
    </row>
    <row r="47" spans="1:18" s="18" customFormat="1" ht="14" x14ac:dyDescent="0.15">
      <c r="A47" s="15" t="s">
        <v>49</v>
      </c>
      <c r="B47" s="16" t="s">
        <v>15</v>
      </c>
      <c r="C47" s="16" t="s">
        <v>16</v>
      </c>
      <c r="D47" s="16" t="s">
        <v>17</v>
      </c>
      <c r="E47" s="16" t="s">
        <v>18</v>
      </c>
      <c r="F47" s="16" t="s">
        <v>19</v>
      </c>
      <c r="G47" s="16" t="s">
        <v>20</v>
      </c>
      <c r="H47" s="16" t="s">
        <v>21</v>
      </c>
      <c r="I47" s="16" t="s">
        <v>22</v>
      </c>
      <c r="J47" s="16" t="s">
        <v>23</v>
      </c>
      <c r="K47" s="16" t="s">
        <v>24</v>
      </c>
      <c r="L47" s="16" t="s">
        <v>25</v>
      </c>
      <c r="M47" s="16" t="s">
        <v>26</v>
      </c>
      <c r="N47" s="17" t="s">
        <v>27</v>
      </c>
      <c r="O47" s="17" t="s">
        <v>32</v>
      </c>
      <c r="P47" s="31"/>
    </row>
    <row r="48" spans="1:18" s="18" customFormat="1" ht="12" x14ac:dyDescent="0.15">
      <c r="A48" s="24" t="s">
        <v>66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30">
        <f t="shared" si="7"/>
        <v>0</v>
      </c>
      <c r="O48" s="30">
        <f t="shared" ref="O48:O53" si="8">N48/COLUMNS(B48:M48)</f>
        <v>0</v>
      </c>
    </row>
    <row r="49" spans="1:20" s="18" customFormat="1" ht="12" x14ac:dyDescent="0.15">
      <c r="A49" s="24" t="s">
        <v>67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30">
        <f t="shared" si="7"/>
        <v>0</v>
      </c>
      <c r="O49" s="30">
        <f t="shared" si="8"/>
        <v>0</v>
      </c>
    </row>
    <row r="50" spans="1:20" s="18" customFormat="1" ht="12" x14ac:dyDescent="0.15">
      <c r="A50" s="24" t="s">
        <v>62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30">
        <f t="shared" si="7"/>
        <v>0</v>
      </c>
      <c r="O50" s="30">
        <f t="shared" si="8"/>
        <v>0</v>
      </c>
    </row>
    <row r="51" spans="1:20" s="18" customFormat="1" ht="12" x14ac:dyDescent="0.15">
      <c r="A51" s="24" t="s">
        <v>63</v>
      </c>
      <c r="B51" s="25">
        <v>400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30">
        <f t="shared" si="7"/>
        <v>400</v>
      </c>
      <c r="O51" s="30">
        <f t="shared" si="8"/>
        <v>33.333333333333336</v>
      </c>
    </row>
    <row r="52" spans="1:20" s="18" customFormat="1" ht="12" x14ac:dyDescent="0.15">
      <c r="A52" s="24" t="s">
        <v>73</v>
      </c>
      <c r="B52" s="25">
        <v>859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30">
        <f t="shared" si="7"/>
        <v>859</v>
      </c>
      <c r="O52" s="30">
        <f t="shared" si="8"/>
        <v>71.583333333333329</v>
      </c>
    </row>
    <row r="53" spans="1:20" s="18" customFormat="1" ht="12" x14ac:dyDescent="0.15">
      <c r="A53" s="24" t="s">
        <v>94</v>
      </c>
      <c r="B53" s="25">
        <v>414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0">
        <f t="shared" si="7"/>
        <v>414</v>
      </c>
      <c r="O53" s="30">
        <f t="shared" si="8"/>
        <v>34.5</v>
      </c>
    </row>
    <row r="54" spans="1:20" s="18" customFormat="1" ht="12" x14ac:dyDescent="0.15">
      <c r="A54" s="24" t="s">
        <v>119</v>
      </c>
      <c r="B54" s="25">
        <v>2800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0">
        <f t="shared" si="7"/>
        <v>2800</v>
      </c>
      <c r="O54" s="30">
        <f>N54/COLUMNS(B54:M54)</f>
        <v>233.33333333333334</v>
      </c>
    </row>
    <row r="55" spans="1:20" s="18" customFormat="1" ht="12" x14ac:dyDescent="0.15">
      <c r="A55" s="24" t="s">
        <v>7</v>
      </c>
      <c r="B55" s="25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30">
        <f>SUM(B55:M55)</f>
        <v>0</v>
      </c>
      <c r="O55" s="30">
        <f>N55/COLUMNS(B55:M55)</f>
        <v>0</v>
      </c>
    </row>
    <row r="56" spans="1:20" s="18" customFormat="1" ht="12" x14ac:dyDescent="0.15">
      <c r="A56" s="27" t="str">
        <f>"Total "&amp;Table5[[#Headers],[HEALTH/INSURANCE]]</f>
        <v>Total HEALTH/INSURANCE</v>
      </c>
      <c r="B56" s="28">
        <f>SUBTOTAL(109,Table5[JAN])</f>
        <v>4473</v>
      </c>
      <c r="C56" s="28">
        <f>SUBTOTAL(109,Table5[FEB])</f>
        <v>0</v>
      </c>
      <c r="D56" s="28">
        <f>SUBTOTAL(109,Table5[MAR])</f>
        <v>0</v>
      </c>
      <c r="E56" s="28">
        <f>SUBTOTAL(109,Table5[APR])</f>
        <v>0</v>
      </c>
      <c r="F56" s="28">
        <f>SUBTOTAL(109,Table5[MAY])</f>
        <v>0</v>
      </c>
      <c r="G56" s="28">
        <f>SUBTOTAL(109,Table5[JUN])</f>
        <v>0</v>
      </c>
      <c r="H56" s="28">
        <f>SUBTOTAL(109,Table5[JUL])</f>
        <v>0</v>
      </c>
      <c r="I56" s="28">
        <f>SUBTOTAL(109,Table5[AUG])</f>
        <v>0</v>
      </c>
      <c r="J56" s="28">
        <f>SUBTOTAL(109,Table5[SEP])</f>
        <v>0</v>
      </c>
      <c r="K56" s="28">
        <f>SUBTOTAL(109,Table5[OCT])</f>
        <v>0</v>
      </c>
      <c r="L56" s="28">
        <f>SUBTOTAL(109,Table5[NOV])</f>
        <v>0</v>
      </c>
      <c r="M56" s="28">
        <f>SUBTOTAL(109,Table5[DEC])</f>
        <v>0</v>
      </c>
      <c r="N56" s="28">
        <f>SUBTOTAL(109,Table5[Total])</f>
        <v>4473</v>
      </c>
      <c r="O56" s="26">
        <f>Table5[[#Totals],[Total]]/COLUMNS(Table5[[#Totals],[JAN]:[DEC]])</f>
        <v>372.75</v>
      </c>
    </row>
    <row r="57" spans="1:20" s="18" customFormat="1" ht="14" x14ac:dyDescent="0.15">
      <c r="A57" s="15" t="s">
        <v>12</v>
      </c>
      <c r="B57" s="16" t="s">
        <v>15</v>
      </c>
      <c r="C57" s="16" t="s">
        <v>16</v>
      </c>
      <c r="D57" s="16" t="s">
        <v>17</v>
      </c>
      <c r="E57" s="16" t="s">
        <v>18</v>
      </c>
      <c r="F57" s="16" t="s">
        <v>19</v>
      </c>
      <c r="G57" s="16" t="s">
        <v>20</v>
      </c>
      <c r="H57" s="16" t="s">
        <v>21</v>
      </c>
      <c r="I57" s="16" t="s">
        <v>22</v>
      </c>
      <c r="J57" s="16" t="s">
        <v>23</v>
      </c>
      <c r="K57" s="16" t="s">
        <v>24</v>
      </c>
      <c r="L57" s="16" t="s">
        <v>25</v>
      </c>
      <c r="M57" s="16" t="s">
        <v>26</v>
      </c>
      <c r="N57" s="17" t="s">
        <v>27</v>
      </c>
      <c r="O57" s="17" t="s">
        <v>32</v>
      </c>
      <c r="P57" s="31"/>
    </row>
    <row r="58" spans="1:20" s="18" customFormat="1" ht="12" x14ac:dyDescent="0.15">
      <c r="A58" s="24" t="s">
        <v>37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30">
        <f t="shared" si="7"/>
        <v>0</v>
      </c>
      <c r="O58" s="30">
        <f>N58/COLUMNS(B58:M58)</f>
        <v>0</v>
      </c>
    </row>
    <row r="59" spans="1:20" s="18" customFormat="1" ht="12" x14ac:dyDescent="0.15">
      <c r="A59" s="24" t="s">
        <v>38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30">
        <f t="shared" si="7"/>
        <v>0</v>
      </c>
      <c r="O59" s="30">
        <f>N59/COLUMNS(B59:M59)</f>
        <v>0</v>
      </c>
    </row>
    <row r="60" spans="1:20" s="18" customFormat="1" ht="12" x14ac:dyDescent="0.15">
      <c r="A60" s="24" t="s">
        <v>39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30">
        <f t="shared" si="7"/>
        <v>0</v>
      </c>
      <c r="O60" s="30">
        <f>N60/COLUMNS(B60:M60)</f>
        <v>0</v>
      </c>
    </row>
    <row r="61" spans="1:20" s="18" customFormat="1" ht="12" x14ac:dyDescent="0.15">
      <c r="A61" s="24" t="s">
        <v>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30">
        <f t="shared" si="7"/>
        <v>0</v>
      </c>
      <c r="O61" s="30">
        <f>N61/COLUMNS(B61:M61)</f>
        <v>0</v>
      </c>
      <c r="T61" s="29"/>
    </row>
    <row r="62" spans="1:20" s="18" customFormat="1" ht="12" x14ac:dyDescent="0.15">
      <c r="A62" s="27" t="str">
        <f>"Total " &amp; Table6[[#Headers],[CHARITY/GIFTS]]</f>
        <v>Total CHARITY/GIFTS</v>
      </c>
      <c r="B62" s="28">
        <f>SUBTOTAL(109,Table6[JAN])</f>
        <v>0</v>
      </c>
      <c r="C62" s="28">
        <f>SUBTOTAL(109,Table6[FEB])</f>
        <v>0</v>
      </c>
      <c r="D62" s="28">
        <f>SUBTOTAL(109,Table6[MAR])</f>
        <v>0</v>
      </c>
      <c r="E62" s="28">
        <f>SUBTOTAL(109,Table6[APR])</f>
        <v>0</v>
      </c>
      <c r="F62" s="28">
        <f>SUBTOTAL(109,Table6[MAY])</f>
        <v>0</v>
      </c>
      <c r="G62" s="28">
        <f>SUBTOTAL(109,Table6[JUN])</f>
        <v>0</v>
      </c>
      <c r="H62" s="28">
        <f>SUBTOTAL(109,Table6[JUL])</f>
        <v>0</v>
      </c>
      <c r="I62" s="28">
        <f>SUBTOTAL(109,Table6[AUG])</f>
        <v>0</v>
      </c>
      <c r="J62" s="28">
        <f>SUBTOTAL(109,Table6[SEP])</f>
        <v>0</v>
      </c>
      <c r="K62" s="28">
        <f>SUBTOTAL(109,Table6[OCT])</f>
        <v>0</v>
      </c>
      <c r="L62" s="28">
        <f>SUBTOTAL(109,Table6[NOV])</f>
        <v>0</v>
      </c>
      <c r="M62" s="28">
        <f>SUBTOTAL(109,Table6[DEC])</f>
        <v>0</v>
      </c>
      <c r="N62" s="26">
        <f>SUBTOTAL(109,Table6[Total])</f>
        <v>0</v>
      </c>
      <c r="O62" s="26">
        <f>Table6[[#Totals],[Total]]/COLUMNS(Table6[[#Totals],[JAN]:[DEC]])</f>
        <v>0</v>
      </c>
    </row>
    <row r="63" spans="1:20" s="18" customFormat="1" x14ac:dyDescent="0.15">
      <c r="A63" s="2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9"/>
      <c r="O63" s="29"/>
    </row>
    <row r="64" spans="1:20" s="18" customFormat="1" ht="14" x14ac:dyDescent="0.15">
      <c r="A64" s="15" t="s">
        <v>11</v>
      </c>
      <c r="B64" s="16" t="s">
        <v>15</v>
      </c>
      <c r="C64" s="16" t="s">
        <v>16</v>
      </c>
      <c r="D64" s="16" t="s">
        <v>17</v>
      </c>
      <c r="E64" s="16" t="s">
        <v>18</v>
      </c>
      <c r="F64" s="16" t="s">
        <v>19</v>
      </c>
      <c r="G64" s="16" t="s">
        <v>20</v>
      </c>
      <c r="H64" s="16" t="s">
        <v>21</v>
      </c>
      <c r="I64" s="16" t="s">
        <v>22</v>
      </c>
      <c r="J64" s="16" t="s">
        <v>23</v>
      </c>
      <c r="K64" s="16" t="s">
        <v>24</v>
      </c>
      <c r="L64" s="16" t="s">
        <v>25</v>
      </c>
      <c r="M64" s="16" t="s">
        <v>26</v>
      </c>
      <c r="N64" s="17" t="s">
        <v>27</v>
      </c>
      <c r="O64" s="17" t="s">
        <v>32</v>
      </c>
      <c r="P64" s="31"/>
    </row>
    <row r="65" spans="1:20" s="18" customFormat="1" ht="12" x14ac:dyDescent="0.15">
      <c r="A65" s="24" t="s">
        <v>40</v>
      </c>
      <c r="B65" s="25">
        <v>400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30">
        <f t="shared" si="7"/>
        <v>400</v>
      </c>
      <c r="O65" s="30">
        <f t="shared" ref="O65:O72" si="9">N65/COLUMNS(B65:M65)</f>
        <v>33.333333333333336</v>
      </c>
      <c r="Q65" s="29"/>
    </row>
    <row r="66" spans="1:20" s="18" customFormat="1" ht="12" x14ac:dyDescent="0.15">
      <c r="A66" s="24" t="s">
        <v>48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30">
        <f t="shared" si="7"/>
        <v>0</v>
      </c>
      <c r="O66" s="30">
        <f t="shared" si="9"/>
        <v>0</v>
      </c>
    </row>
    <row r="67" spans="1:20" s="18" customFormat="1" ht="12" x14ac:dyDescent="0.15">
      <c r="A67" s="24" t="s">
        <v>74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30">
        <f t="shared" si="7"/>
        <v>0</v>
      </c>
      <c r="O67" s="30">
        <f t="shared" si="9"/>
        <v>0</v>
      </c>
    </row>
    <row r="68" spans="1:20" s="18" customFormat="1" ht="12" x14ac:dyDescent="0.15">
      <c r="A68" s="24" t="s">
        <v>13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30">
        <f t="shared" si="7"/>
        <v>0</v>
      </c>
      <c r="O68" s="30">
        <f t="shared" si="9"/>
        <v>0</v>
      </c>
    </row>
    <row r="69" spans="1:20" s="18" customFormat="1" ht="12" x14ac:dyDescent="0.15">
      <c r="A69" s="24" t="s">
        <v>46</v>
      </c>
      <c r="B69" s="25">
        <v>2000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30">
        <f t="shared" si="7"/>
        <v>2000</v>
      </c>
      <c r="O69" s="30">
        <f t="shared" si="9"/>
        <v>166.66666666666666</v>
      </c>
      <c r="Q69" s="45"/>
      <c r="R69" s="45"/>
      <c r="T69" s="29"/>
    </row>
    <row r="70" spans="1:20" s="18" customFormat="1" ht="12" x14ac:dyDescent="0.15">
      <c r="A70" s="24" t="s">
        <v>71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30">
        <f t="shared" si="7"/>
        <v>0</v>
      </c>
      <c r="O70" s="30">
        <f t="shared" si="9"/>
        <v>0</v>
      </c>
    </row>
    <row r="71" spans="1:20" s="18" customFormat="1" ht="12" x14ac:dyDescent="0.15">
      <c r="A71" s="24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30">
        <f t="shared" si="7"/>
        <v>0</v>
      </c>
      <c r="O71" s="30">
        <f t="shared" si="9"/>
        <v>0</v>
      </c>
    </row>
    <row r="72" spans="1:20" s="18" customFormat="1" ht="12" x14ac:dyDescent="0.15">
      <c r="A72" s="2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30">
        <f>SUM(B72:M72)</f>
        <v>0</v>
      </c>
      <c r="O72" s="30">
        <f t="shared" si="9"/>
        <v>0</v>
      </c>
    </row>
    <row r="73" spans="1:20" s="18" customFormat="1" ht="12" x14ac:dyDescent="0.15">
      <c r="A73" s="24" t="s">
        <v>7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30">
        <f t="shared" si="7"/>
        <v>0</v>
      </c>
      <c r="O73" s="30">
        <f>N73/COLUMNS(B73:M73)</f>
        <v>0</v>
      </c>
    </row>
    <row r="74" spans="1:20" s="18" customFormat="1" ht="12" x14ac:dyDescent="0.15">
      <c r="A74" s="27" t="str">
        <f>"Total " &amp; Table7[[#Headers],[DAILY LIVING]]</f>
        <v>Total DAILY LIVING</v>
      </c>
      <c r="B74" s="28">
        <f>SUBTOTAL(109,Table7[JAN])</f>
        <v>2400</v>
      </c>
      <c r="C74" s="28">
        <f>SUBTOTAL(109,Table7[FEB])</f>
        <v>0</v>
      </c>
      <c r="D74" s="28">
        <f>SUBTOTAL(109,Table7[MAR])</f>
        <v>0</v>
      </c>
      <c r="E74" s="28">
        <f>SUBTOTAL(109,Table7[APR])</f>
        <v>0</v>
      </c>
      <c r="F74" s="28">
        <f>SUBTOTAL(109,Table7[MAY])</f>
        <v>0</v>
      </c>
      <c r="G74" s="28">
        <f>SUBTOTAL(109,Table7[JUN])</f>
        <v>0</v>
      </c>
      <c r="H74" s="28">
        <f>SUBTOTAL(109,Table7[JUL])</f>
        <v>0</v>
      </c>
      <c r="I74" s="28">
        <f>SUBTOTAL(109,Table7[AUG])</f>
        <v>0</v>
      </c>
      <c r="J74" s="28">
        <f>SUBTOTAL(109,Table7[SEP])</f>
        <v>0</v>
      </c>
      <c r="K74" s="28">
        <f>SUBTOTAL(109,Table7[OCT])</f>
        <v>0</v>
      </c>
      <c r="L74" s="28">
        <f>SUBTOTAL(109,Table7[NOV])</f>
        <v>0</v>
      </c>
      <c r="M74" s="28">
        <f>SUBTOTAL(109,Table7[DEC])</f>
        <v>0</v>
      </c>
      <c r="N74" s="26">
        <f>SUBTOTAL(109,Table7[Total])</f>
        <v>2400</v>
      </c>
      <c r="O74" s="26">
        <f>Table7[[#Totals],[Total]]/COLUMNS(Table7[[#Totals],[JAN]:[DEC]])</f>
        <v>200</v>
      </c>
    </row>
    <row r="75" spans="1:20" s="18" customFormat="1" ht="11" x14ac:dyDescent="0.15">
      <c r="N75" s="29"/>
      <c r="O75" s="29"/>
    </row>
    <row r="76" spans="1:20" s="18" customFormat="1" ht="14" x14ac:dyDescent="0.15">
      <c r="A76" s="15" t="s">
        <v>9</v>
      </c>
      <c r="B76" s="16" t="s">
        <v>15</v>
      </c>
      <c r="C76" s="16" t="s">
        <v>16</v>
      </c>
      <c r="D76" s="16" t="s">
        <v>17</v>
      </c>
      <c r="E76" s="16" t="s">
        <v>18</v>
      </c>
      <c r="F76" s="16" t="s">
        <v>19</v>
      </c>
      <c r="G76" s="16" t="s">
        <v>20</v>
      </c>
      <c r="H76" s="16" t="s">
        <v>21</v>
      </c>
      <c r="I76" s="16" t="s">
        <v>22</v>
      </c>
      <c r="J76" s="16" t="s">
        <v>23</v>
      </c>
      <c r="K76" s="16" t="s">
        <v>24</v>
      </c>
      <c r="L76" s="16" t="s">
        <v>25</v>
      </c>
      <c r="M76" s="16" t="s">
        <v>26</v>
      </c>
      <c r="N76" s="17" t="s">
        <v>27</v>
      </c>
      <c r="O76" s="17" t="s">
        <v>32</v>
      </c>
      <c r="P76" s="31"/>
    </row>
    <row r="77" spans="1:20" s="18" customFormat="1" ht="12" x14ac:dyDescent="0.15">
      <c r="A77" s="24" t="s">
        <v>41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30">
        <f t="shared" si="7"/>
        <v>0</v>
      </c>
      <c r="O77" s="30">
        <f>N77/COLUMNS(B77:M77)</f>
        <v>0</v>
      </c>
      <c r="Q77" s="46"/>
    </row>
    <row r="78" spans="1:20" s="18" customFormat="1" ht="12" x14ac:dyDescent="0.15">
      <c r="A78" s="24" t="s">
        <v>69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30">
        <f t="shared" ref="N78" si="10">SUM(B78:M78)</f>
        <v>0</v>
      </c>
      <c r="O78" s="30">
        <f t="shared" ref="O78" si="11">N78/COLUMNS(B78:M78)</f>
        <v>0</v>
      </c>
      <c r="Q78" s="47"/>
      <c r="R78" s="29"/>
    </row>
    <row r="79" spans="1:20" s="18" customFormat="1" ht="12" x14ac:dyDescent="0.15">
      <c r="A79" s="24" t="s">
        <v>42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30">
        <f t="shared" ref="N79" si="12">SUM(B79:M79)</f>
        <v>0</v>
      </c>
      <c r="O79" s="30">
        <f t="shared" ref="O79" si="13">N79/COLUMNS(B79:M79)</f>
        <v>0</v>
      </c>
    </row>
    <row r="80" spans="1:20" s="18" customFormat="1" ht="12" x14ac:dyDescent="0.15">
      <c r="A80" s="24" t="s">
        <v>43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30">
        <f t="shared" si="7"/>
        <v>0</v>
      </c>
      <c r="O80" s="30">
        <f t="shared" ref="O80:O87" si="14">N80/COLUMNS(B80:M80)</f>
        <v>0</v>
      </c>
      <c r="S80" s="48"/>
      <c r="T80" s="29"/>
    </row>
    <row r="81" spans="1:18" s="18" customFormat="1" ht="12" x14ac:dyDescent="0.15">
      <c r="A81" s="24" t="s">
        <v>75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30">
        <f t="shared" si="7"/>
        <v>0</v>
      </c>
      <c r="O81" s="30">
        <f t="shared" si="14"/>
        <v>0</v>
      </c>
    </row>
    <row r="82" spans="1:18" s="18" customFormat="1" ht="12" x14ac:dyDescent="0.15">
      <c r="A82" s="24" t="s">
        <v>76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30">
        <f t="shared" si="7"/>
        <v>0</v>
      </c>
      <c r="O82" s="30">
        <f t="shared" si="14"/>
        <v>0</v>
      </c>
    </row>
    <row r="83" spans="1:18" s="18" customFormat="1" ht="12" x14ac:dyDescent="0.15">
      <c r="A83" s="24" t="s">
        <v>34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30">
        <f t="shared" ref="N83:N84" si="15">SUM(B83:M83)</f>
        <v>0</v>
      </c>
      <c r="O83" s="30">
        <f t="shared" ref="O83:O84" si="16">N83/COLUMNS(B83:M83)</f>
        <v>0</v>
      </c>
    </row>
    <row r="84" spans="1:18" s="18" customFormat="1" ht="12" x14ac:dyDescent="0.15">
      <c r="A84" s="24" t="s">
        <v>47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30">
        <f t="shared" si="15"/>
        <v>0</v>
      </c>
      <c r="O84" s="30">
        <f t="shared" si="16"/>
        <v>0</v>
      </c>
    </row>
    <row r="85" spans="1:18" s="18" customFormat="1" ht="12" x14ac:dyDescent="0.15">
      <c r="A85" s="24" t="s">
        <v>50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30">
        <f>SUM(B85:M85)</f>
        <v>0</v>
      </c>
      <c r="O85" s="30">
        <f>N85/COLUMNS(B85:M85)</f>
        <v>0</v>
      </c>
    </row>
    <row r="86" spans="1:18" s="18" customFormat="1" ht="12" x14ac:dyDescent="0.15">
      <c r="A86" s="24" t="s">
        <v>77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30">
        <f>SUM(B86:M86)</f>
        <v>0</v>
      </c>
      <c r="O86" s="30">
        <f>N86/COLUMNS(B86:M86)</f>
        <v>0</v>
      </c>
    </row>
    <row r="87" spans="1:18" s="18" customFormat="1" ht="12" x14ac:dyDescent="0.15">
      <c r="A87" s="24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30">
        <f t="shared" si="7"/>
        <v>0</v>
      </c>
      <c r="O87" s="30">
        <f t="shared" si="14"/>
        <v>0</v>
      </c>
    </row>
    <row r="88" spans="1:18" s="18" customFormat="1" ht="12" x14ac:dyDescent="0.15">
      <c r="A88" s="24" t="s">
        <v>7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30">
        <f t="shared" si="7"/>
        <v>0</v>
      </c>
      <c r="O88" s="30">
        <f>N88/COLUMNS(B88:M88)</f>
        <v>0</v>
      </c>
    </row>
    <row r="89" spans="1:18" s="18" customFormat="1" ht="12" x14ac:dyDescent="0.15">
      <c r="A89" s="27" t="str">
        <f>"Total " &amp; Table8[[#Headers],[ENTERTAINMENT]]</f>
        <v>Total ENTERTAINMENT</v>
      </c>
      <c r="B89" s="28">
        <f>SUBTOTAL(109,Table8[JAN])</f>
        <v>0</v>
      </c>
      <c r="C89" s="28">
        <f>SUBTOTAL(109,Table8[FEB])</f>
        <v>0</v>
      </c>
      <c r="D89" s="28">
        <f>SUBTOTAL(109,Table8[MAR])</f>
        <v>0</v>
      </c>
      <c r="E89" s="28">
        <f>SUBTOTAL(109,Table8[APR])</f>
        <v>0</v>
      </c>
      <c r="F89" s="28">
        <f>SUBTOTAL(109,Table8[MAY])</f>
        <v>0</v>
      </c>
      <c r="G89" s="28">
        <f>SUBTOTAL(109,Table8[JUN])</f>
        <v>0</v>
      </c>
      <c r="H89" s="28">
        <f>SUBTOTAL(109,Table8[JUL])</f>
        <v>0</v>
      </c>
      <c r="I89" s="28">
        <f>SUBTOTAL(109,Table8[AUG])</f>
        <v>0</v>
      </c>
      <c r="J89" s="28">
        <f>SUBTOTAL(109,Table8[SEP])</f>
        <v>0</v>
      </c>
      <c r="K89" s="28">
        <f>SUBTOTAL(109,Table8[OCT])</f>
        <v>0</v>
      </c>
      <c r="L89" s="28">
        <f>SUBTOTAL(109,Table8[NOV])</f>
        <v>0</v>
      </c>
      <c r="M89" s="28">
        <f>SUBTOTAL(109,Table8[DEC])</f>
        <v>0</v>
      </c>
      <c r="N89" s="26">
        <f>SUBTOTAL(109,Table8[Total])</f>
        <v>0</v>
      </c>
      <c r="O89" s="26">
        <f>Table8[[#Totals],[Total]]/COLUMNS(Table8[[#Totals],[JAN]:[DEC]])</f>
        <v>0</v>
      </c>
    </row>
    <row r="90" spans="1:18" s="18" customFormat="1" ht="11" x14ac:dyDescent="0.15">
      <c r="N90" s="29"/>
      <c r="O90" s="29"/>
    </row>
    <row r="91" spans="1:18" s="21" customFormat="1" x14ac:dyDescent="0.15">
      <c r="A91" s="15" t="s">
        <v>103</v>
      </c>
      <c r="B91" s="16" t="s">
        <v>15</v>
      </c>
      <c r="C91" s="16" t="s">
        <v>16</v>
      </c>
      <c r="D91" s="16" t="s">
        <v>17</v>
      </c>
      <c r="E91" s="16" t="s">
        <v>18</v>
      </c>
      <c r="F91" s="16" t="s">
        <v>19</v>
      </c>
      <c r="G91" s="16" t="s">
        <v>20</v>
      </c>
      <c r="H91" s="16" t="s">
        <v>21</v>
      </c>
      <c r="I91" s="16" t="s">
        <v>22</v>
      </c>
      <c r="J91" s="16" t="s">
        <v>23</v>
      </c>
      <c r="K91" s="16" t="s">
        <v>24</v>
      </c>
      <c r="L91" s="16" t="s">
        <v>25</v>
      </c>
      <c r="M91" s="16" t="s">
        <v>26</v>
      </c>
      <c r="N91" s="17" t="s">
        <v>27</v>
      </c>
      <c r="O91" s="17" t="s">
        <v>32</v>
      </c>
    </row>
    <row r="92" spans="1:18" s="21" customFormat="1" x14ac:dyDescent="0.15">
      <c r="A92" s="24" t="s">
        <v>78</v>
      </c>
      <c r="B92" s="25">
        <v>1000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30">
        <f t="shared" si="7"/>
        <v>1000</v>
      </c>
      <c r="O92" s="30">
        <f t="shared" ref="O92:O99" si="17">N92/COLUMNS(B92:M92)</f>
        <v>83.333333333333329</v>
      </c>
    </row>
    <row r="93" spans="1:18" s="21" customFormat="1" ht="15" customHeight="1" x14ac:dyDescent="0.15">
      <c r="A93" s="24" t="s">
        <v>79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30">
        <f t="shared" si="7"/>
        <v>0</v>
      </c>
      <c r="O93" s="30">
        <f t="shared" si="17"/>
        <v>0</v>
      </c>
      <c r="P93" s="36"/>
    </row>
    <row r="94" spans="1:18" s="21" customFormat="1" x14ac:dyDescent="0.15">
      <c r="A94" s="24" t="s">
        <v>80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30">
        <f t="shared" si="7"/>
        <v>0</v>
      </c>
      <c r="O94" s="30">
        <f t="shared" si="17"/>
        <v>0</v>
      </c>
    </row>
    <row r="95" spans="1:18" s="21" customFormat="1" x14ac:dyDescent="0.15">
      <c r="A95" s="24" t="s">
        <v>81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30">
        <f t="shared" si="7"/>
        <v>0</v>
      </c>
      <c r="O95" s="30">
        <f t="shared" si="17"/>
        <v>0</v>
      </c>
      <c r="R95" s="40"/>
    </row>
    <row r="96" spans="1:18" s="21" customFormat="1" x14ac:dyDescent="0.15">
      <c r="A96" s="24" t="s">
        <v>82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30">
        <f t="shared" si="7"/>
        <v>0</v>
      </c>
      <c r="O96" s="30">
        <f t="shared" si="17"/>
        <v>0</v>
      </c>
    </row>
    <row r="97" spans="1:17" s="21" customFormat="1" x14ac:dyDescent="0.15">
      <c r="A97" s="24" t="s">
        <v>44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30">
        <f>SUM(B97:M97)</f>
        <v>0</v>
      </c>
      <c r="O97" s="30">
        <f>N97/COLUMNS(B97:M97)</f>
        <v>0</v>
      </c>
    </row>
    <row r="98" spans="1:17" s="21" customFormat="1" x14ac:dyDescent="0.15">
      <c r="A98" s="24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30">
        <f>SUM(B98:M98)</f>
        <v>0</v>
      </c>
      <c r="O98" s="30">
        <f>N98/COLUMNS(B98:M98)</f>
        <v>0</v>
      </c>
    </row>
    <row r="99" spans="1:17" s="21" customFormat="1" x14ac:dyDescent="0.15">
      <c r="A99" s="24" t="s">
        <v>7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30">
        <f t="shared" si="7"/>
        <v>0</v>
      </c>
      <c r="O99" s="30">
        <f t="shared" si="17"/>
        <v>0</v>
      </c>
      <c r="Q99" s="40"/>
    </row>
    <row r="100" spans="1:17" s="21" customFormat="1" x14ac:dyDescent="0.15">
      <c r="A100" s="27" t="str">
        <f>"Total " &amp;Table9[[#Headers],[SAVINGS / Investments]]</f>
        <v>Total SAVINGS / Investments</v>
      </c>
      <c r="B100" s="28">
        <f>SUBTOTAL(109,Table9[JAN])</f>
        <v>1000</v>
      </c>
      <c r="C100" s="28">
        <f>SUBTOTAL(109,Table9[FEB])</f>
        <v>0</v>
      </c>
      <c r="D100" s="28">
        <f>SUBTOTAL(109,Table9[MAR])</f>
        <v>0</v>
      </c>
      <c r="E100" s="28">
        <f>SUBTOTAL(109,Table9[APR])</f>
        <v>0</v>
      </c>
      <c r="F100" s="28">
        <f>SUBTOTAL(109,Table9[MAY])</f>
        <v>0</v>
      </c>
      <c r="G100" s="28">
        <f>SUBTOTAL(109,Table9[JUN])</f>
        <v>0</v>
      </c>
      <c r="H100" s="28">
        <f>SUBTOTAL(109,Table9[JUL])</f>
        <v>0</v>
      </c>
      <c r="I100" s="28">
        <f>SUBTOTAL(109,Table9[AUG])</f>
        <v>0</v>
      </c>
      <c r="J100" s="28">
        <f>SUBTOTAL(109,Table9[SEP])</f>
        <v>0</v>
      </c>
      <c r="K100" s="28">
        <f>SUBTOTAL(109,Table9[OCT])</f>
        <v>0</v>
      </c>
      <c r="L100" s="28">
        <f>SUBTOTAL(109,Table9[NOV])</f>
        <v>0</v>
      </c>
      <c r="M100" s="28">
        <f>SUBTOTAL(109,Table9[DEC])</f>
        <v>0</v>
      </c>
      <c r="N100" s="26">
        <f>SUBTOTAL(109,Table9[Total])</f>
        <v>1000</v>
      </c>
      <c r="O100" s="26">
        <f>Table9[[#Totals],[Total]]/COLUMNS(Table9[[#Totals],[JAN]:[DEC]])</f>
        <v>83.333333333333329</v>
      </c>
    </row>
    <row r="101" spans="1:17" s="21" customFormat="1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9"/>
      <c r="O101" s="29"/>
    </row>
    <row r="102" spans="1:17" s="21" customFormat="1" x14ac:dyDescent="0.15">
      <c r="A102" s="15" t="s">
        <v>101</v>
      </c>
      <c r="B102" s="16" t="s">
        <v>15</v>
      </c>
      <c r="C102" s="16" t="s">
        <v>16</v>
      </c>
      <c r="D102" s="16" t="s">
        <v>17</v>
      </c>
      <c r="E102" s="16" t="s">
        <v>18</v>
      </c>
      <c r="F102" s="16" t="s">
        <v>19</v>
      </c>
      <c r="G102" s="16" t="s">
        <v>20</v>
      </c>
      <c r="H102" s="16" t="s">
        <v>21</v>
      </c>
      <c r="I102" s="16" t="s">
        <v>22</v>
      </c>
      <c r="J102" s="16" t="s">
        <v>23</v>
      </c>
      <c r="K102" s="16" t="s">
        <v>24</v>
      </c>
      <c r="L102" s="16" t="s">
        <v>25</v>
      </c>
      <c r="M102" s="16" t="s">
        <v>26</v>
      </c>
      <c r="N102" s="17" t="s">
        <v>27</v>
      </c>
      <c r="O102" s="17" t="s">
        <v>32</v>
      </c>
    </row>
    <row r="103" spans="1:17" s="21" customFormat="1" x14ac:dyDescent="0.15">
      <c r="A103" s="24" t="s">
        <v>83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30">
        <f t="shared" ref="N103:N109" si="18">SUM(B103:M103)</f>
        <v>0</v>
      </c>
      <c r="O103" s="30">
        <f t="shared" ref="O103:O108" si="19">N103/COLUMNS(B103:M103)</f>
        <v>0</v>
      </c>
    </row>
    <row r="104" spans="1:17" s="21" customFormat="1" ht="14" x14ac:dyDescent="0.15">
      <c r="A104" s="24" t="s">
        <v>29</v>
      </c>
      <c r="B104" s="25">
        <v>3000</v>
      </c>
      <c r="C104" s="25"/>
      <c r="D104" s="25"/>
      <c r="E104" s="25"/>
      <c r="F104" s="25"/>
      <c r="G104" s="25"/>
      <c r="H104" s="25"/>
      <c r="I104" s="25"/>
      <c r="M104" s="25"/>
      <c r="N104" s="30">
        <f t="shared" si="18"/>
        <v>3000</v>
      </c>
      <c r="O104" s="30">
        <f t="shared" si="19"/>
        <v>250</v>
      </c>
      <c r="P104" s="31"/>
    </row>
    <row r="105" spans="1:17" s="21" customFormat="1" x14ac:dyDescent="0.15">
      <c r="A105" s="24" t="s">
        <v>84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30">
        <f t="shared" si="18"/>
        <v>0</v>
      </c>
      <c r="O105" s="30">
        <f t="shared" si="19"/>
        <v>0</v>
      </c>
      <c r="Q105" s="39"/>
    </row>
    <row r="106" spans="1:17" s="21" customFormat="1" x14ac:dyDescent="0.15">
      <c r="A106" s="24" t="s">
        <v>58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30">
        <f t="shared" si="18"/>
        <v>0</v>
      </c>
      <c r="O106" s="30">
        <f t="shared" si="19"/>
        <v>0</v>
      </c>
    </row>
    <row r="107" spans="1:17" s="21" customFormat="1" x14ac:dyDescent="0.15">
      <c r="A107" s="24" t="s">
        <v>85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30">
        <f t="shared" si="18"/>
        <v>0</v>
      </c>
      <c r="O107" s="30">
        <f t="shared" si="19"/>
        <v>0</v>
      </c>
    </row>
    <row r="108" spans="1:17" s="21" customFormat="1" x14ac:dyDescent="0.15">
      <c r="A108" s="24" t="s">
        <v>83</v>
      </c>
      <c r="B108" s="25">
        <v>13000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30">
        <f t="shared" si="18"/>
        <v>13000</v>
      </c>
      <c r="O108" s="30">
        <f t="shared" si="19"/>
        <v>1083.3333333333333</v>
      </c>
    </row>
    <row r="109" spans="1:17" s="21" customFormat="1" x14ac:dyDescent="0.15">
      <c r="A109" s="24" t="s">
        <v>7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30">
        <f t="shared" si="18"/>
        <v>0</v>
      </c>
      <c r="O109" s="30">
        <f>N109/COLUMNS(B109:M109)</f>
        <v>0</v>
      </c>
    </row>
    <row r="110" spans="1:17" s="21" customFormat="1" x14ac:dyDescent="0.15">
      <c r="A110" s="27" t="str">
        <f>"Total " &amp; Table10[[#Headers],[Debts / Financing ]]</f>
        <v xml:space="preserve">Total Debts / Financing </v>
      </c>
      <c r="B110" s="28">
        <f>SUBTOTAL(109,Table10[JAN])</f>
        <v>16000</v>
      </c>
      <c r="C110" s="28">
        <f>SUBTOTAL(109,Table10[FEB])</f>
        <v>0</v>
      </c>
      <c r="D110" s="28">
        <f>SUBTOTAL(109,Table10[MAR])</f>
        <v>0</v>
      </c>
      <c r="E110" s="28">
        <f>SUBTOTAL(109,Table10[APR])</f>
        <v>0</v>
      </c>
      <c r="F110" s="28">
        <f>SUBTOTAL(109,Table10[MAY])</f>
        <v>0</v>
      </c>
      <c r="G110" s="28">
        <f>SUBTOTAL(109,Table10[JUN])</f>
        <v>0</v>
      </c>
      <c r="H110" s="28">
        <f>SUBTOTAL(109,Table10[JUL])</f>
        <v>0</v>
      </c>
      <c r="I110" s="28">
        <f>SUBTOTAL(109,Table10[AUG])</f>
        <v>0</v>
      </c>
      <c r="J110" s="28">
        <f>SUBTOTAL(109,Table10[SEP])</f>
        <v>0</v>
      </c>
      <c r="K110" s="28">
        <f>SUBTOTAL(109,Table10[OCT])</f>
        <v>0</v>
      </c>
      <c r="L110" s="28">
        <f>SUBTOTAL(109,Table10[NOV])</f>
        <v>0</v>
      </c>
      <c r="M110" s="28">
        <f>SUBTOTAL(109,Table10[DEC])</f>
        <v>0</v>
      </c>
      <c r="N110" s="26">
        <f>SUBTOTAL(109,Table10[Total])</f>
        <v>16000</v>
      </c>
      <c r="O110" s="26">
        <f>Table10[[#Totals],[Total]]/COLUMNS(Table10[[#Totals],[JAN]:[DEC]])</f>
        <v>1333.3333333333333</v>
      </c>
    </row>
    <row r="111" spans="1:17" s="21" customFormat="1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29"/>
      <c r="O111" s="29"/>
    </row>
    <row r="112" spans="1:17" s="21" customFormat="1" x14ac:dyDescent="0.15">
      <c r="A112" s="15" t="s">
        <v>10</v>
      </c>
      <c r="B112" s="16" t="s">
        <v>15</v>
      </c>
      <c r="C112" s="16" t="s">
        <v>16</v>
      </c>
      <c r="D112" s="16" t="s">
        <v>17</v>
      </c>
      <c r="E112" s="16" t="s">
        <v>18</v>
      </c>
      <c r="F112" s="16" t="s">
        <v>19</v>
      </c>
      <c r="G112" s="16" t="s">
        <v>20</v>
      </c>
      <c r="H112" s="16" t="s">
        <v>21</v>
      </c>
      <c r="I112" s="16" t="s">
        <v>22</v>
      </c>
      <c r="J112" s="16" t="s">
        <v>23</v>
      </c>
      <c r="K112" s="16" t="s">
        <v>24</v>
      </c>
      <c r="L112" s="16" t="s">
        <v>25</v>
      </c>
      <c r="M112" s="16" t="s">
        <v>26</v>
      </c>
      <c r="N112" s="17" t="s">
        <v>27</v>
      </c>
      <c r="O112" s="17" t="s">
        <v>32</v>
      </c>
    </row>
    <row r="113" spans="1:16" s="21" customFormat="1" x14ac:dyDescent="0.15">
      <c r="A113" s="24" t="s">
        <v>65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30">
        <f t="shared" ref="N113:N119" si="20">SUM(B113:M113)</f>
        <v>0</v>
      </c>
      <c r="O113" s="30">
        <f t="shared" ref="O113:O119" si="21">N113/COLUMNS(B113:M113)</f>
        <v>0</v>
      </c>
    </row>
    <row r="114" spans="1:16" s="21" customFormat="1" ht="14" x14ac:dyDescent="0.15">
      <c r="A114" s="24" t="s">
        <v>86</v>
      </c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30">
        <f t="shared" si="20"/>
        <v>0</v>
      </c>
      <c r="O114" s="30">
        <f t="shared" si="21"/>
        <v>0</v>
      </c>
      <c r="P114" s="31"/>
    </row>
    <row r="115" spans="1:16" s="21" customFormat="1" x14ac:dyDescent="0.15">
      <c r="A115" s="24" t="s">
        <v>87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30">
        <f t="shared" si="20"/>
        <v>0</v>
      </c>
      <c r="O115" s="30">
        <f t="shared" si="21"/>
        <v>0</v>
      </c>
    </row>
    <row r="116" spans="1:16" s="21" customFormat="1" x14ac:dyDescent="0.15">
      <c r="A116" s="24" t="s">
        <v>89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30">
        <f t="shared" si="20"/>
        <v>0</v>
      </c>
      <c r="O116" s="30">
        <f t="shared" si="21"/>
        <v>0</v>
      </c>
    </row>
    <row r="117" spans="1:16" s="21" customFormat="1" x14ac:dyDescent="0.15">
      <c r="A117" s="24" t="s">
        <v>88</v>
      </c>
      <c r="B117" s="25">
        <v>199</v>
      </c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30">
        <f t="shared" si="20"/>
        <v>199</v>
      </c>
      <c r="O117" s="30">
        <f t="shared" si="21"/>
        <v>16.583333333333332</v>
      </c>
    </row>
    <row r="118" spans="1:16" s="21" customFormat="1" x14ac:dyDescent="0.15">
      <c r="A118" s="24" t="s">
        <v>90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30">
        <f t="shared" si="20"/>
        <v>0</v>
      </c>
      <c r="O118" s="30">
        <f t="shared" si="21"/>
        <v>0</v>
      </c>
    </row>
    <row r="119" spans="1:16" s="21" customFormat="1" x14ac:dyDescent="0.15">
      <c r="A119" s="24" t="s">
        <v>7</v>
      </c>
      <c r="B119" s="25">
        <v>300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30">
        <f t="shared" si="20"/>
        <v>300</v>
      </c>
      <c r="O119" s="30">
        <f t="shared" si="21"/>
        <v>25</v>
      </c>
    </row>
    <row r="120" spans="1:16" s="21" customFormat="1" x14ac:dyDescent="0.15">
      <c r="A120" s="27" t="str">
        <f>"Total " &amp;Table11[[#Headers],[SUBSCRIPTIONS]]</f>
        <v>Total SUBSCRIPTIONS</v>
      </c>
      <c r="B120" s="28">
        <f>SUBTOTAL(109,Table11[JAN])</f>
        <v>499</v>
      </c>
      <c r="C120" s="28">
        <f>SUBTOTAL(109,Table11[FEB])</f>
        <v>0</v>
      </c>
      <c r="D120" s="28">
        <f>SUBTOTAL(109,Table11[MAR])</f>
        <v>0</v>
      </c>
      <c r="E120" s="28">
        <f>SUBTOTAL(109,Table11[APR])</f>
        <v>0</v>
      </c>
      <c r="F120" s="28">
        <f>SUBTOTAL(109,Table11[MAY])</f>
        <v>0</v>
      </c>
      <c r="G120" s="28">
        <f>SUBTOTAL(109,Table11[JUN])</f>
        <v>0</v>
      </c>
      <c r="H120" s="28">
        <f>SUBTOTAL(109,Table11[JUL])</f>
        <v>0</v>
      </c>
      <c r="I120" s="28">
        <f>SUBTOTAL(109,Table11[AUG])</f>
        <v>0</v>
      </c>
      <c r="J120" s="28">
        <f>SUBTOTAL(109,Table11[SEP])</f>
        <v>0</v>
      </c>
      <c r="K120" s="28">
        <f>SUBTOTAL(109,Table11[OCT])</f>
        <v>0</v>
      </c>
      <c r="L120" s="28">
        <f>SUBTOTAL(109,Table11[NOV])</f>
        <v>0</v>
      </c>
      <c r="M120" s="28">
        <f>SUBTOTAL(109,Table11[DEC])</f>
        <v>0</v>
      </c>
      <c r="N120" s="26">
        <f>SUBTOTAL(109,Table11[Total])</f>
        <v>499</v>
      </c>
      <c r="O120" s="26">
        <f>Table11[[#Totals],[Total]]/COLUMNS(Table11[[#Totals],[JAN]:[DEC]])</f>
        <v>41.583333333333336</v>
      </c>
    </row>
    <row r="121" spans="1:16" s="21" customFormat="1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29"/>
      <c r="O121" s="29"/>
    </row>
    <row r="122" spans="1:16" s="21" customFormat="1" x14ac:dyDescent="0.15">
      <c r="A122" s="15" t="s">
        <v>6</v>
      </c>
      <c r="B122" s="16" t="s">
        <v>15</v>
      </c>
      <c r="C122" s="16" t="s">
        <v>16</v>
      </c>
      <c r="D122" s="16" t="s">
        <v>17</v>
      </c>
      <c r="E122" s="16" t="s">
        <v>18</v>
      </c>
      <c r="F122" s="16" t="s">
        <v>19</v>
      </c>
      <c r="G122" s="16" t="s">
        <v>20</v>
      </c>
      <c r="H122" s="16" t="s">
        <v>21</v>
      </c>
      <c r="I122" s="16" t="s">
        <v>22</v>
      </c>
      <c r="J122" s="16" t="s">
        <v>23</v>
      </c>
      <c r="K122" s="16" t="s">
        <v>24</v>
      </c>
      <c r="L122" s="16" t="s">
        <v>25</v>
      </c>
      <c r="M122" s="16" t="s">
        <v>26</v>
      </c>
      <c r="N122" s="17" t="s">
        <v>27</v>
      </c>
      <c r="O122" s="17" t="s">
        <v>32</v>
      </c>
    </row>
    <row r="123" spans="1:16" s="21" customFormat="1" x14ac:dyDescent="0.15">
      <c r="A123" s="24" t="s">
        <v>91</v>
      </c>
      <c r="B123" s="25">
        <v>400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30">
        <f>SUM(B123:M123)</f>
        <v>400</v>
      </c>
      <c r="O123" s="30">
        <f>N123/COLUMNS(B123:M123)</f>
        <v>33.333333333333336</v>
      </c>
    </row>
    <row r="124" spans="1:16" s="21" customFormat="1" ht="14" x14ac:dyDescent="0.15">
      <c r="A124" s="24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30">
        <f>SUM(B124:M124)</f>
        <v>0</v>
      </c>
      <c r="O124" s="30">
        <f>N124/COLUMNS(B124:M124)</f>
        <v>0</v>
      </c>
      <c r="P124" s="31"/>
    </row>
    <row r="125" spans="1:16" s="21" customFormat="1" x14ac:dyDescent="0.15">
      <c r="A125" s="24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30">
        <f>SUM(B125:M125)</f>
        <v>0</v>
      </c>
      <c r="O125" s="30">
        <f>N125/COLUMNS(B125:M125)</f>
        <v>0</v>
      </c>
    </row>
    <row r="126" spans="1:16" s="21" customFormat="1" x14ac:dyDescent="0.15">
      <c r="A126" s="24" t="s">
        <v>7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30">
        <f>SUM(B126:M126)</f>
        <v>0</v>
      </c>
      <c r="O126" s="30">
        <f>N126/COLUMNS(B126:M126)</f>
        <v>0</v>
      </c>
    </row>
    <row r="127" spans="1:16" s="21" customFormat="1" x14ac:dyDescent="0.15">
      <c r="A127" s="27" t="str">
        <f>"Total " &amp;Table12[[#Headers],[MISCELLANEOUS]]</f>
        <v>Total MISCELLANEOUS</v>
      </c>
      <c r="B127" s="28">
        <f>SUBTOTAL(109,Table12[JAN])</f>
        <v>400</v>
      </c>
      <c r="C127" s="28">
        <f>SUBTOTAL(109,Table12[FEB])</f>
        <v>0</v>
      </c>
      <c r="D127" s="28">
        <f>SUBTOTAL(109,Table12[MAR])</f>
        <v>0</v>
      </c>
      <c r="E127" s="28">
        <f>SUBTOTAL(109,Table12[APR])</f>
        <v>0</v>
      </c>
      <c r="F127" s="28">
        <f>SUBTOTAL(109,Table12[MAY])</f>
        <v>0</v>
      </c>
      <c r="G127" s="28">
        <f>SUBTOTAL(109,Table12[JUN])</f>
        <v>0</v>
      </c>
      <c r="H127" s="28">
        <f>SUBTOTAL(109,Table12[JUL])</f>
        <v>0</v>
      </c>
      <c r="I127" s="28">
        <f>SUBTOTAL(109,Table12[AUG])</f>
        <v>0</v>
      </c>
      <c r="J127" s="28">
        <f>SUBTOTAL(109,Table12[SEP])</f>
        <v>0</v>
      </c>
      <c r="K127" s="28">
        <f>SUBTOTAL(109,Table12[OCT])</f>
        <v>0</v>
      </c>
      <c r="L127" s="28">
        <f>SUBTOTAL(109,Table12[NOV])</f>
        <v>0</v>
      </c>
      <c r="M127" s="28">
        <f>SUBTOTAL(109,Table12[DEC])</f>
        <v>0</v>
      </c>
      <c r="N127" s="26">
        <f>SUBTOTAL(109,Table12[Total])</f>
        <v>400</v>
      </c>
      <c r="O127" s="26">
        <f>Table12[[#Totals],[Total]]/COLUMNS(Table12[[#Totals],[JAN]:[DEC]])</f>
        <v>33.333333333333336</v>
      </c>
    </row>
    <row r="128" spans="1:16" s="21" customForma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1" customForma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</sheetData>
  <phoneticPr fontId="0" type="noConversion"/>
  <printOptions horizontalCentered="1"/>
  <pageMargins left="0.4" right="0.4" top="0.35" bottom="0.35" header="0.5" footer="0.25"/>
  <pageSetup scale="84" fitToHeight="0" orientation="portrait" r:id="rId1"/>
  <headerFooter alignWithMargins="0"/>
  <drawing r:id="rId2"/>
  <legacyDrawing r:id="rId3"/>
  <tableParts count="11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9E21-A7BB-E14E-87C6-1A9AAB489C12}">
  <dimension ref="A1:B11"/>
  <sheetViews>
    <sheetView workbookViewId="0">
      <selection activeCell="K23" sqref="K23"/>
    </sheetView>
  </sheetViews>
  <sheetFormatPr baseColWidth="10" defaultColWidth="11.83203125" defaultRowHeight="14" x14ac:dyDescent="0.15"/>
  <cols>
    <col min="1" max="1" width="24.1640625" customWidth="1"/>
    <col min="2" max="2" width="20" customWidth="1"/>
  </cols>
  <sheetData>
    <row r="1" spans="1:2" ht="15" thickBot="1" x14ac:dyDescent="0.2">
      <c r="A1" s="55" t="s">
        <v>108</v>
      </c>
      <c r="B1" s="56"/>
    </row>
    <row r="2" spans="1:2" x14ac:dyDescent="0.15">
      <c r="A2" s="49" t="s">
        <v>59</v>
      </c>
      <c r="B2" s="50">
        <f>Table3[[#Totals],[AUG]]</f>
        <v>0</v>
      </c>
    </row>
    <row r="3" spans="1:2" x14ac:dyDescent="0.15">
      <c r="A3" s="49" t="s">
        <v>98</v>
      </c>
      <c r="B3" s="51">
        <f>Table4[[#Totals],[AUG]]</f>
        <v>0</v>
      </c>
    </row>
    <row r="4" spans="1:2" x14ac:dyDescent="0.15">
      <c r="A4" s="49" t="s">
        <v>97</v>
      </c>
      <c r="B4" s="50">
        <f>Table5[[#Totals],[AUG]]</f>
        <v>0</v>
      </c>
    </row>
    <row r="5" spans="1:2" x14ac:dyDescent="0.15">
      <c r="A5" s="49" t="s">
        <v>102</v>
      </c>
      <c r="B5" s="51">
        <f>Table6[[#Totals],[AUG]]</f>
        <v>0</v>
      </c>
    </row>
    <row r="6" spans="1:2" x14ac:dyDescent="0.15">
      <c r="A6" s="49" t="s">
        <v>99</v>
      </c>
      <c r="B6" s="50">
        <f>Table7[[#Totals],[AUG]]</f>
        <v>0</v>
      </c>
    </row>
    <row r="7" spans="1:2" x14ac:dyDescent="0.15">
      <c r="A7" s="49" t="s">
        <v>52</v>
      </c>
      <c r="B7" s="51">
        <f>Table8[[#Totals],[AUG]]</f>
        <v>0</v>
      </c>
    </row>
    <row r="8" spans="1:2" x14ac:dyDescent="0.15">
      <c r="A8" s="49" t="s">
        <v>51</v>
      </c>
      <c r="B8" s="50">
        <f>Table9[[#Totals],[AUG]]</f>
        <v>0</v>
      </c>
    </row>
    <row r="9" spans="1:2" x14ac:dyDescent="0.15">
      <c r="A9" s="49" t="s">
        <v>100</v>
      </c>
      <c r="B9" s="51">
        <f>Table10[[#Totals],[AUG]]</f>
        <v>0</v>
      </c>
    </row>
    <row r="10" spans="1:2" x14ac:dyDescent="0.15">
      <c r="A10" s="49" t="s">
        <v>53</v>
      </c>
      <c r="B10" s="50">
        <f>Table11[[#Totals],[AUG]]</f>
        <v>0</v>
      </c>
    </row>
    <row r="11" spans="1:2" x14ac:dyDescent="0.15">
      <c r="A11" s="49" t="s">
        <v>54</v>
      </c>
      <c r="B11" s="51">
        <f>Table12[[#Totals],[AUG]]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BA5D-EAD8-014E-BD47-DF30C1149F62}">
  <dimension ref="A1:B11"/>
  <sheetViews>
    <sheetView zoomScale="75" workbookViewId="0">
      <selection activeCell="R35" sqref="R35"/>
    </sheetView>
  </sheetViews>
  <sheetFormatPr baseColWidth="10" defaultColWidth="11.83203125" defaultRowHeight="14" x14ac:dyDescent="0.15"/>
  <cols>
    <col min="1" max="1" width="28.33203125" customWidth="1"/>
    <col min="2" max="2" width="25.33203125" customWidth="1"/>
  </cols>
  <sheetData>
    <row r="1" spans="1:2" ht="15" thickBot="1" x14ac:dyDescent="0.2">
      <c r="A1" s="55" t="s">
        <v>56</v>
      </c>
      <c r="B1" s="56"/>
    </row>
    <row r="2" spans="1:2" x14ac:dyDescent="0.15">
      <c r="A2" s="49" t="s">
        <v>59</v>
      </c>
      <c r="B2" s="50">
        <f>Table3[[#Totals],[SEP]]</f>
        <v>0</v>
      </c>
    </row>
    <row r="3" spans="1:2" x14ac:dyDescent="0.15">
      <c r="A3" s="49" t="s">
        <v>98</v>
      </c>
      <c r="B3" s="51">
        <f>Table4[[#Totals],[SEP]]</f>
        <v>0</v>
      </c>
    </row>
    <row r="4" spans="1:2" x14ac:dyDescent="0.15">
      <c r="A4" s="49" t="s">
        <v>97</v>
      </c>
      <c r="B4" s="50">
        <f>Table5[[#Totals],[SEP]]</f>
        <v>0</v>
      </c>
    </row>
    <row r="5" spans="1:2" x14ac:dyDescent="0.15">
      <c r="A5" s="49" t="s">
        <v>102</v>
      </c>
      <c r="B5" s="51">
        <f>Table6[[#Totals],[SEP]]</f>
        <v>0</v>
      </c>
    </row>
    <row r="6" spans="1:2" x14ac:dyDescent="0.15">
      <c r="A6" s="49" t="s">
        <v>99</v>
      </c>
      <c r="B6" s="50">
        <f>Table7[[#Totals],[SEP]]</f>
        <v>0</v>
      </c>
    </row>
    <row r="7" spans="1:2" x14ac:dyDescent="0.15">
      <c r="A7" s="49" t="s">
        <v>52</v>
      </c>
      <c r="B7" s="51">
        <f>Table8[[#Totals],[SEP]]</f>
        <v>0</v>
      </c>
    </row>
    <row r="8" spans="1:2" x14ac:dyDescent="0.15">
      <c r="A8" s="49" t="s">
        <v>51</v>
      </c>
      <c r="B8" s="50">
        <f>Table9[[#Totals],[SEP]]</f>
        <v>0</v>
      </c>
    </row>
    <row r="9" spans="1:2" x14ac:dyDescent="0.15">
      <c r="A9" s="49" t="s">
        <v>100</v>
      </c>
      <c r="B9" s="51">
        <f>Table10[[#Totals],[SEP]]</f>
        <v>0</v>
      </c>
    </row>
    <row r="10" spans="1:2" x14ac:dyDescent="0.15">
      <c r="A10" s="49" t="s">
        <v>53</v>
      </c>
      <c r="B10" s="50">
        <f>Table11[[#Totals],[SEP]]</f>
        <v>0</v>
      </c>
    </row>
    <row r="11" spans="1:2" x14ac:dyDescent="0.15">
      <c r="A11" s="49" t="s">
        <v>54</v>
      </c>
      <c r="B11" s="51">
        <f>Table12[[#Totals],[SEP]]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2805-9EBB-354C-A175-E62784C60CCE}">
  <dimension ref="A1:B11"/>
  <sheetViews>
    <sheetView zoomScale="87" workbookViewId="0">
      <selection activeCell="N28" sqref="N28"/>
    </sheetView>
  </sheetViews>
  <sheetFormatPr baseColWidth="10" defaultColWidth="11.83203125" defaultRowHeight="14" x14ac:dyDescent="0.15"/>
  <cols>
    <col min="1" max="1" width="23.5" customWidth="1"/>
    <col min="2" max="2" width="25.5" customWidth="1"/>
  </cols>
  <sheetData>
    <row r="1" spans="1:2" ht="15" thickBot="1" x14ac:dyDescent="0.2">
      <c r="A1" s="55" t="s">
        <v>57</v>
      </c>
      <c r="B1" s="56"/>
    </row>
    <row r="2" spans="1:2" x14ac:dyDescent="0.15">
      <c r="A2" s="49" t="s">
        <v>59</v>
      </c>
      <c r="B2" s="50">
        <f>Table3[[#Totals],[OCT]]</f>
        <v>0</v>
      </c>
    </row>
    <row r="3" spans="1:2" x14ac:dyDescent="0.15">
      <c r="A3" s="49" t="s">
        <v>98</v>
      </c>
      <c r="B3" s="51">
        <f>Table4[[#Totals],[OCT]]</f>
        <v>0</v>
      </c>
    </row>
    <row r="4" spans="1:2" x14ac:dyDescent="0.15">
      <c r="A4" s="49" t="s">
        <v>97</v>
      </c>
      <c r="B4" s="50">
        <f>Table5[[#Totals],[OCT]]</f>
        <v>0</v>
      </c>
    </row>
    <row r="5" spans="1:2" x14ac:dyDescent="0.15">
      <c r="A5" s="49" t="s">
        <v>102</v>
      </c>
      <c r="B5" s="51">
        <f>Table6[[#Totals],[OCT]]</f>
        <v>0</v>
      </c>
    </row>
    <row r="6" spans="1:2" x14ac:dyDescent="0.15">
      <c r="A6" s="49" t="s">
        <v>99</v>
      </c>
      <c r="B6" s="50">
        <f>Table7[[#Totals],[OCT]]</f>
        <v>0</v>
      </c>
    </row>
    <row r="7" spans="1:2" x14ac:dyDescent="0.15">
      <c r="A7" s="49" t="s">
        <v>52</v>
      </c>
      <c r="B7" s="51">
        <f>Table8[[#Totals],[OCT]]</f>
        <v>0</v>
      </c>
    </row>
    <row r="8" spans="1:2" x14ac:dyDescent="0.15">
      <c r="A8" s="49" t="s">
        <v>51</v>
      </c>
      <c r="B8" s="50">
        <f>Table9[[#Totals],[OCT]]</f>
        <v>0</v>
      </c>
    </row>
    <row r="9" spans="1:2" x14ac:dyDescent="0.15">
      <c r="A9" s="49" t="s">
        <v>100</v>
      </c>
      <c r="B9" s="51">
        <f>Table10[[#Totals],[OCT]]</f>
        <v>0</v>
      </c>
    </row>
    <row r="10" spans="1:2" x14ac:dyDescent="0.15">
      <c r="A10" s="49" t="s">
        <v>53</v>
      </c>
      <c r="B10" s="50">
        <f>Table11[[#Totals],[OCT]]</f>
        <v>0</v>
      </c>
    </row>
    <row r="11" spans="1:2" x14ac:dyDescent="0.15">
      <c r="A11" s="49" t="s">
        <v>54</v>
      </c>
      <c r="B11" s="51">
        <f>Table12[[#Totals],[OCT]]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288-BEEA-2F46-9D2B-157A8CF4E8E2}">
  <dimension ref="A1:B11"/>
  <sheetViews>
    <sheetView workbookViewId="0">
      <selection activeCell="A26" sqref="A26"/>
    </sheetView>
  </sheetViews>
  <sheetFormatPr baseColWidth="10" defaultColWidth="11.83203125" defaultRowHeight="14" x14ac:dyDescent="0.15"/>
  <cols>
    <col min="1" max="1" width="21" customWidth="1"/>
    <col min="2" max="2" width="17.83203125" customWidth="1"/>
  </cols>
  <sheetData>
    <row r="1" spans="1:2" ht="15" thickBot="1" x14ac:dyDescent="0.2">
      <c r="A1" s="55" t="s">
        <v>109</v>
      </c>
      <c r="B1" s="56"/>
    </row>
    <row r="2" spans="1:2" x14ac:dyDescent="0.15">
      <c r="A2" s="49" t="s">
        <v>59</v>
      </c>
      <c r="B2" s="50">
        <f>Table3[[#Totals],[NOV]]</f>
        <v>0</v>
      </c>
    </row>
    <row r="3" spans="1:2" x14ac:dyDescent="0.15">
      <c r="A3" s="49" t="s">
        <v>98</v>
      </c>
      <c r="B3" s="51">
        <f>Table4[[#Totals],[NOV]]</f>
        <v>0</v>
      </c>
    </row>
    <row r="4" spans="1:2" x14ac:dyDescent="0.15">
      <c r="A4" s="49" t="s">
        <v>97</v>
      </c>
      <c r="B4" s="50">
        <f>Table5[[#Totals],[NOV]]</f>
        <v>0</v>
      </c>
    </row>
    <row r="5" spans="1:2" x14ac:dyDescent="0.15">
      <c r="A5" s="49" t="s">
        <v>102</v>
      </c>
      <c r="B5" s="51">
        <f>Table6[[#Totals],[NOV]]</f>
        <v>0</v>
      </c>
    </row>
    <row r="6" spans="1:2" x14ac:dyDescent="0.15">
      <c r="A6" s="49" t="s">
        <v>99</v>
      </c>
      <c r="B6" s="50">
        <f>Table7[[#Totals],[NOV]]</f>
        <v>0</v>
      </c>
    </row>
    <row r="7" spans="1:2" x14ac:dyDescent="0.15">
      <c r="A7" s="49" t="s">
        <v>52</v>
      </c>
      <c r="B7" s="51">
        <f>Table8[[#Totals],[NOV]]</f>
        <v>0</v>
      </c>
    </row>
    <row r="8" spans="1:2" x14ac:dyDescent="0.15">
      <c r="A8" s="49" t="s">
        <v>51</v>
      </c>
      <c r="B8" s="50">
        <f>Table9[[#Totals],[NOV]]</f>
        <v>0</v>
      </c>
    </row>
    <row r="9" spans="1:2" x14ac:dyDescent="0.15">
      <c r="A9" s="49" t="s">
        <v>100</v>
      </c>
      <c r="B9" s="51">
        <f>Table10[[#Totals],[NOV]]</f>
        <v>0</v>
      </c>
    </row>
    <row r="10" spans="1:2" x14ac:dyDescent="0.15">
      <c r="A10" s="49" t="s">
        <v>53</v>
      </c>
      <c r="B10" s="50">
        <f>Table11[[#Totals],[NOV]]</f>
        <v>0</v>
      </c>
    </row>
    <row r="11" spans="1:2" x14ac:dyDescent="0.15">
      <c r="A11" s="49" t="s">
        <v>54</v>
      </c>
      <c r="B11" s="51">
        <f>Table12[[#Totals],[NOV]]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DF89-E685-6D48-85B5-A6C2776A665D}">
  <dimension ref="A1:B11"/>
  <sheetViews>
    <sheetView workbookViewId="0">
      <selection activeCell="B24" sqref="B24"/>
    </sheetView>
  </sheetViews>
  <sheetFormatPr baseColWidth="10" defaultColWidth="11.83203125" defaultRowHeight="14" x14ac:dyDescent="0.15"/>
  <cols>
    <col min="1" max="1" width="22" customWidth="1"/>
    <col min="2" max="2" width="21.83203125" customWidth="1"/>
  </cols>
  <sheetData>
    <row r="1" spans="1:2" ht="15" thickBot="1" x14ac:dyDescent="0.2">
      <c r="A1" s="55" t="s">
        <v>110</v>
      </c>
      <c r="B1" s="56"/>
    </row>
    <row r="2" spans="1:2" x14ac:dyDescent="0.15">
      <c r="A2" s="49" t="s">
        <v>59</v>
      </c>
      <c r="B2" s="50">
        <f>Table3[[#Totals],[DEC]]</f>
        <v>0</v>
      </c>
    </row>
    <row r="3" spans="1:2" x14ac:dyDescent="0.15">
      <c r="A3" s="49" t="s">
        <v>98</v>
      </c>
      <c r="B3" s="51">
        <f>Table4[[#Totals],[DEC]]</f>
        <v>0</v>
      </c>
    </row>
    <row r="4" spans="1:2" x14ac:dyDescent="0.15">
      <c r="A4" s="49" t="s">
        <v>97</v>
      </c>
      <c r="B4" s="50">
        <f>Table5[[#Totals],[DEC]]</f>
        <v>0</v>
      </c>
    </row>
    <row r="5" spans="1:2" x14ac:dyDescent="0.15">
      <c r="A5" s="49" t="s">
        <v>102</v>
      </c>
      <c r="B5" s="51">
        <f>Table6[[#Totals],[DEC]]</f>
        <v>0</v>
      </c>
    </row>
    <row r="6" spans="1:2" x14ac:dyDescent="0.15">
      <c r="A6" s="49" t="s">
        <v>99</v>
      </c>
      <c r="B6" s="50">
        <f>Table7[[#Totals],[DEC]]</f>
        <v>0</v>
      </c>
    </row>
    <row r="7" spans="1:2" x14ac:dyDescent="0.15">
      <c r="A7" s="49" t="s">
        <v>52</v>
      </c>
      <c r="B7" s="51">
        <f>Table8[[#Totals],[DEC]]</f>
        <v>0</v>
      </c>
    </row>
    <row r="8" spans="1:2" x14ac:dyDescent="0.15">
      <c r="A8" s="49" t="s">
        <v>51</v>
      </c>
      <c r="B8" s="50">
        <f>Table9[[#Totals],[DEC]]</f>
        <v>0</v>
      </c>
    </row>
    <row r="9" spans="1:2" x14ac:dyDescent="0.15">
      <c r="A9" s="49" t="s">
        <v>100</v>
      </c>
      <c r="B9" s="51">
        <f>Table10[[#Totals],[DEC]]</f>
        <v>0</v>
      </c>
    </row>
    <row r="10" spans="1:2" x14ac:dyDescent="0.15">
      <c r="A10" s="49" t="s">
        <v>53</v>
      </c>
      <c r="B10" s="50">
        <f>Table11[[#Totals],[DEC]]</f>
        <v>0</v>
      </c>
    </row>
    <row r="11" spans="1:2" x14ac:dyDescent="0.15">
      <c r="A11" s="49" t="s">
        <v>54</v>
      </c>
      <c r="B11" s="51">
        <f>Table12[[#Totals],[DEC]]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2A61-96B9-584E-96BB-A01570BD1B07}">
  <dimension ref="A1:B13"/>
  <sheetViews>
    <sheetView zoomScale="75" workbookViewId="0">
      <selection activeCell="R24" sqref="R24"/>
    </sheetView>
  </sheetViews>
  <sheetFormatPr baseColWidth="10" defaultRowHeight="14" x14ac:dyDescent="0.15"/>
  <cols>
    <col min="1" max="1" width="22" customWidth="1"/>
    <col min="2" max="2" width="17.83203125" customWidth="1"/>
  </cols>
  <sheetData>
    <row r="1" spans="1:2" x14ac:dyDescent="0.15">
      <c r="A1" s="53" t="s">
        <v>111</v>
      </c>
      <c r="B1" s="54"/>
    </row>
    <row r="2" spans="1:2" x14ac:dyDescent="0.15">
      <c r="A2" s="37" t="s">
        <v>112</v>
      </c>
      <c r="B2" s="38">
        <f>Table2[[#Totals],[JAN]]</f>
        <v>45000</v>
      </c>
    </row>
    <row r="3" spans="1:2" x14ac:dyDescent="0.15">
      <c r="A3" s="37" t="s">
        <v>95</v>
      </c>
      <c r="B3" s="38">
        <f>Table2[[#Totals],[FEB]]</f>
        <v>0</v>
      </c>
    </row>
    <row r="4" spans="1:2" x14ac:dyDescent="0.15">
      <c r="A4" s="37" t="s">
        <v>96</v>
      </c>
      <c r="B4" s="38">
        <f>Table2[[#Totals],[MAR]]</f>
        <v>0</v>
      </c>
    </row>
    <row r="5" spans="1:2" x14ac:dyDescent="0.15">
      <c r="A5" s="37" t="s">
        <v>113</v>
      </c>
      <c r="B5" s="38">
        <f>Table2[[#Totals],[APR]]</f>
        <v>0</v>
      </c>
    </row>
    <row r="6" spans="1:2" x14ac:dyDescent="0.15">
      <c r="A6" s="37" t="s">
        <v>105</v>
      </c>
      <c r="B6" s="38">
        <f>Table2[[#Totals],[MAY]]</f>
        <v>0</v>
      </c>
    </row>
    <row r="7" spans="1:2" x14ac:dyDescent="0.15">
      <c r="A7" s="37" t="s">
        <v>106</v>
      </c>
      <c r="B7" s="38">
        <f>Table2[[#Totals],[JUN]]</f>
        <v>0</v>
      </c>
    </row>
    <row r="8" spans="1:2" x14ac:dyDescent="0.15">
      <c r="A8" s="37" t="s">
        <v>114</v>
      </c>
      <c r="B8" s="38">
        <f>Table2[[#Totals],[JUL]]</f>
        <v>0</v>
      </c>
    </row>
    <row r="9" spans="1:2" x14ac:dyDescent="0.15">
      <c r="A9" s="37" t="s">
        <v>115</v>
      </c>
      <c r="B9" s="38">
        <f>Table2[[#Totals],[AUG]]</f>
        <v>0</v>
      </c>
    </row>
    <row r="10" spans="1:2" x14ac:dyDescent="0.15">
      <c r="A10" s="37" t="s">
        <v>116</v>
      </c>
      <c r="B10" s="38">
        <f>Table2[[#Totals],[SEP]]</f>
        <v>0</v>
      </c>
    </row>
    <row r="11" spans="1:2" x14ac:dyDescent="0.15">
      <c r="A11" s="37" t="s">
        <v>57</v>
      </c>
      <c r="B11" s="38">
        <f>Table2[[#Totals],[OCT]]</f>
        <v>0</v>
      </c>
    </row>
    <row r="12" spans="1:2" x14ac:dyDescent="0.15">
      <c r="A12" s="37" t="s">
        <v>117</v>
      </c>
      <c r="B12" s="38">
        <f>Table2[[#Totals],[NOV]]</f>
        <v>0</v>
      </c>
    </row>
    <row r="13" spans="1:2" x14ac:dyDescent="0.15">
      <c r="A13" s="52" t="s">
        <v>110</v>
      </c>
      <c r="B13" s="38">
        <f>Table2[[#Totals],[DEC]]</f>
        <v>0</v>
      </c>
    </row>
  </sheetData>
  <mergeCells count="1">
    <mergeCell ref="A1:B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5A81-76C8-BF44-B976-2FD0985AD584}">
  <dimension ref="A1:B12"/>
  <sheetViews>
    <sheetView zoomScale="75" workbookViewId="0">
      <selection activeCell="A2" sqref="A2:XFD2"/>
    </sheetView>
  </sheetViews>
  <sheetFormatPr baseColWidth="10" defaultColWidth="11.83203125" defaultRowHeight="14" x14ac:dyDescent="0.15"/>
  <cols>
    <col min="1" max="1" width="19.83203125" customWidth="1"/>
    <col min="2" max="2" width="15" customWidth="1"/>
    <col min="3" max="3" width="18.33203125" customWidth="1"/>
    <col min="4" max="4" width="17.83203125" customWidth="1"/>
    <col min="5" max="5" width="17.1640625" customWidth="1"/>
    <col min="6" max="6" width="20.6640625" customWidth="1"/>
    <col min="7" max="7" width="17.5" customWidth="1"/>
    <col min="8" max="8" width="26.83203125" customWidth="1"/>
    <col min="9" max="9" width="17.33203125" customWidth="1"/>
    <col min="10" max="11" width="22.5" customWidth="1"/>
    <col min="12" max="12" width="21" customWidth="1"/>
    <col min="13" max="13" width="20.1640625" customWidth="1"/>
    <col min="14" max="14" width="18" customWidth="1"/>
    <col min="15" max="15" width="20.5" customWidth="1"/>
    <col min="16" max="16" width="20" customWidth="1"/>
    <col min="17" max="17" width="25.6640625" customWidth="1"/>
    <col min="18" max="18" width="20" customWidth="1"/>
    <col min="19" max="19" width="22.1640625" customWidth="1"/>
    <col min="20" max="20" width="22.83203125" customWidth="1"/>
    <col min="21" max="21" width="18.5" customWidth="1"/>
    <col min="22" max="22" width="22.5" customWidth="1"/>
    <col min="23" max="23" width="22.83203125" customWidth="1"/>
    <col min="24" max="24" width="23.5" customWidth="1"/>
  </cols>
  <sheetData>
    <row r="1" spans="1:2" x14ac:dyDescent="0.15">
      <c r="A1" s="53" t="s">
        <v>55</v>
      </c>
      <c r="B1" s="54"/>
    </row>
    <row r="2" spans="1:2" x14ac:dyDescent="0.15">
      <c r="A2" s="37" t="s">
        <v>59</v>
      </c>
      <c r="B2" s="38">
        <f>Table3[[#Totals],[JAN]]</f>
        <v>1900</v>
      </c>
    </row>
    <row r="3" spans="1:2" x14ac:dyDescent="0.15">
      <c r="A3" s="37" t="s">
        <v>98</v>
      </c>
      <c r="B3" s="38">
        <f>Table4[[#Totals],[JAN]]</f>
        <v>4000</v>
      </c>
    </row>
    <row r="4" spans="1:2" x14ac:dyDescent="0.15">
      <c r="A4" s="37" t="s">
        <v>97</v>
      </c>
      <c r="B4" s="38">
        <f>Budget!B48+Budget!B53+Budget!B52</f>
        <v>1273</v>
      </c>
    </row>
    <row r="5" spans="1:2" x14ac:dyDescent="0.15">
      <c r="A5" s="37" t="s">
        <v>102</v>
      </c>
      <c r="B5" s="38">
        <f>Table6[[#Totals],[JAN]]</f>
        <v>0</v>
      </c>
    </row>
    <row r="6" spans="1:2" x14ac:dyDescent="0.15">
      <c r="A6" s="37" t="s">
        <v>99</v>
      </c>
      <c r="B6" s="38">
        <f>Table7[[#Totals],[JAN]]</f>
        <v>2400</v>
      </c>
    </row>
    <row r="7" spans="1:2" x14ac:dyDescent="0.15">
      <c r="A7" s="37" t="s">
        <v>52</v>
      </c>
      <c r="B7" s="38">
        <f>Table8[[#Totals],[JAN]]</f>
        <v>0</v>
      </c>
    </row>
    <row r="8" spans="1:2" x14ac:dyDescent="0.15">
      <c r="A8" s="37" t="s">
        <v>51</v>
      </c>
      <c r="B8" s="38">
        <f>Table9[[#Totals],[JAN]]</f>
        <v>1000</v>
      </c>
    </row>
    <row r="9" spans="1:2" x14ac:dyDescent="0.15">
      <c r="A9" s="37" t="s">
        <v>100</v>
      </c>
      <c r="B9" s="38">
        <f>Table10[[#Totals],[JAN]]</f>
        <v>16000</v>
      </c>
    </row>
    <row r="10" spans="1:2" x14ac:dyDescent="0.15">
      <c r="A10" s="37" t="s">
        <v>53</v>
      </c>
      <c r="B10" s="38">
        <f>Table11[[#Totals],[JAN]]</f>
        <v>499</v>
      </c>
    </row>
    <row r="11" spans="1:2" x14ac:dyDescent="0.15">
      <c r="A11" s="37" t="s">
        <v>54</v>
      </c>
      <c r="B11" s="38">
        <f>Table12[[#Totals],[JAN]]</f>
        <v>400</v>
      </c>
    </row>
    <row r="12" spans="1:2" x14ac:dyDescent="0.15">
      <c r="A12" s="37"/>
      <c r="B12" s="38"/>
    </row>
  </sheetData>
  <mergeCells count="1">
    <mergeCell ref="A1:B1"/>
  </mergeCells>
  <phoneticPr fontId="17" type="noConversion"/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AB80-BADB-DA42-A5AC-C6405AE46AAF}">
  <dimension ref="A1:B11"/>
  <sheetViews>
    <sheetView zoomScale="75" workbookViewId="0">
      <selection activeCell="A2" sqref="A2:XFD2"/>
    </sheetView>
  </sheetViews>
  <sheetFormatPr baseColWidth="10" defaultColWidth="11.83203125" defaultRowHeight="14" x14ac:dyDescent="0.15"/>
  <cols>
    <col min="1" max="1" width="24.83203125" customWidth="1"/>
    <col min="2" max="2" width="20.33203125" customWidth="1"/>
  </cols>
  <sheetData>
    <row r="1" spans="1:2" ht="15" thickBot="1" x14ac:dyDescent="0.2">
      <c r="A1" s="55" t="s">
        <v>95</v>
      </c>
      <c r="B1" s="56"/>
    </row>
    <row r="2" spans="1:2" x14ac:dyDescent="0.15">
      <c r="A2" s="49" t="s">
        <v>59</v>
      </c>
      <c r="B2" s="50">
        <f>Table3[[#Totals],[FEB]]</f>
        <v>0</v>
      </c>
    </row>
    <row r="3" spans="1:2" x14ac:dyDescent="0.15">
      <c r="A3" s="49" t="s">
        <v>98</v>
      </c>
      <c r="B3" s="51">
        <f>Table4[[#Totals],[FEB]]</f>
        <v>0</v>
      </c>
    </row>
    <row r="4" spans="1:2" x14ac:dyDescent="0.15">
      <c r="A4" s="49" t="s">
        <v>97</v>
      </c>
      <c r="B4" s="50">
        <f>Table5[[#Totals],[FEB]]</f>
        <v>0</v>
      </c>
    </row>
    <row r="5" spans="1:2" x14ac:dyDescent="0.15">
      <c r="A5" s="49" t="s">
        <v>102</v>
      </c>
      <c r="B5" s="51">
        <f>Table6[[#Totals],[FEB]]</f>
        <v>0</v>
      </c>
    </row>
    <row r="6" spans="1:2" x14ac:dyDescent="0.15">
      <c r="A6" s="49" t="s">
        <v>99</v>
      </c>
      <c r="B6" s="50">
        <f>Table7[[#Totals],[FEB]]</f>
        <v>0</v>
      </c>
    </row>
    <row r="7" spans="1:2" x14ac:dyDescent="0.15">
      <c r="A7" s="49" t="s">
        <v>52</v>
      </c>
      <c r="B7" s="51">
        <f>Table8[[#Totals],[FEB]]</f>
        <v>0</v>
      </c>
    </row>
    <row r="8" spans="1:2" x14ac:dyDescent="0.15">
      <c r="A8" s="49" t="s">
        <v>51</v>
      </c>
      <c r="B8" s="50">
        <f>Table9[[#Totals],[FEB]]</f>
        <v>0</v>
      </c>
    </row>
    <row r="9" spans="1:2" x14ac:dyDescent="0.15">
      <c r="A9" s="49" t="s">
        <v>100</v>
      </c>
      <c r="B9" s="51">
        <f>Table10[[#Totals],[FEB]]</f>
        <v>0</v>
      </c>
    </row>
    <row r="10" spans="1:2" x14ac:dyDescent="0.15">
      <c r="A10" s="49" t="s">
        <v>53</v>
      </c>
      <c r="B10" s="50">
        <f>Table11[[#Totals],[FEB]]</f>
        <v>0</v>
      </c>
    </row>
    <row r="11" spans="1:2" x14ac:dyDescent="0.15">
      <c r="A11" s="49" t="s">
        <v>54</v>
      </c>
      <c r="B11" s="51">
        <f>Table12[[#Totals],[FEB]]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9DC4-C12A-5D47-8428-DD609D7175E6}">
  <dimension ref="A1:B11"/>
  <sheetViews>
    <sheetView workbookViewId="0">
      <selection activeCell="B20" sqref="B20"/>
    </sheetView>
  </sheetViews>
  <sheetFormatPr baseColWidth="10" defaultColWidth="11.83203125" defaultRowHeight="14" x14ac:dyDescent="0.15"/>
  <cols>
    <col min="1" max="1" width="22.6640625" customWidth="1"/>
    <col min="2" max="2" width="15.83203125" customWidth="1"/>
  </cols>
  <sheetData>
    <row r="1" spans="1:2" ht="15" thickBot="1" x14ac:dyDescent="0.2">
      <c r="A1" s="55" t="s">
        <v>96</v>
      </c>
      <c r="B1" s="56"/>
    </row>
    <row r="2" spans="1:2" x14ac:dyDescent="0.15">
      <c r="A2" s="49" t="s">
        <v>59</v>
      </c>
      <c r="B2" s="50">
        <f>Table3[[#Totals],[MAR]]</f>
        <v>0</v>
      </c>
    </row>
    <row r="3" spans="1:2" x14ac:dyDescent="0.15">
      <c r="A3" s="49" t="s">
        <v>98</v>
      </c>
      <c r="B3" s="51">
        <f>Table4[[#Totals],[MAR]]</f>
        <v>0</v>
      </c>
    </row>
    <row r="4" spans="1:2" x14ac:dyDescent="0.15">
      <c r="A4" s="49" t="s">
        <v>97</v>
      </c>
      <c r="B4" s="50">
        <f>Table5[[#Totals],[MAR]]</f>
        <v>0</v>
      </c>
    </row>
    <row r="5" spans="1:2" x14ac:dyDescent="0.15">
      <c r="A5" s="49" t="s">
        <v>102</v>
      </c>
      <c r="B5" s="51">
        <f>Table6[[#Totals],[MAR]]</f>
        <v>0</v>
      </c>
    </row>
    <row r="6" spans="1:2" x14ac:dyDescent="0.15">
      <c r="A6" s="49" t="s">
        <v>99</v>
      </c>
      <c r="B6" s="50">
        <f>Table7[[#Totals],[MAR]]</f>
        <v>0</v>
      </c>
    </row>
    <row r="7" spans="1:2" x14ac:dyDescent="0.15">
      <c r="A7" s="49" t="s">
        <v>52</v>
      </c>
      <c r="B7" s="51">
        <f>Table8[[#Totals],[MAR]]</f>
        <v>0</v>
      </c>
    </row>
    <row r="8" spans="1:2" x14ac:dyDescent="0.15">
      <c r="A8" s="49" t="s">
        <v>51</v>
      </c>
      <c r="B8" s="50">
        <f>Table9[[#Totals],[MAR]]</f>
        <v>0</v>
      </c>
    </row>
    <row r="9" spans="1:2" x14ac:dyDescent="0.15">
      <c r="A9" s="49" t="s">
        <v>100</v>
      </c>
      <c r="B9" s="51">
        <f>Table10[[#Totals],[MAR]]</f>
        <v>0</v>
      </c>
    </row>
    <row r="10" spans="1:2" x14ac:dyDescent="0.15">
      <c r="A10" s="49" t="s">
        <v>53</v>
      </c>
      <c r="B10" s="50">
        <f>Table11[[#Totals],[MAR]]</f>
        <v>0</v>
      </c>
    </row>
    <row r="11" spans="1:2" x14ac:dyDescent="0.15">
      <c r="A11" s="49" t="s">
        <v>54</v>
      </c>
      <c r="B11" s="51">
        <f>Table12[[#Totals],[MAR]]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2503-ECC9-5943-8B2A-E108841DC792}">
  <dimension ref="A1:B11"/>
  <sheetViews>
    <sheetView workbookViewId="0">
      <selection activeCell="B25" sqref="B25"/>
    </sheetView>
  </sheetViews>
  <sheetFormatPr baseColWidth="10" defaultColWidth="11.83203125" defaultRowHeight="14" x14ac:dyDescent="0.15"/>
  <cols>
    <col min="1" max="1" width="17.6640625" customWidth="1"/>
    <col min="2" max="2" width="18.6640625" customWidth="1"/>
  </cols>
  <sheetData>
    <row r="1" spans="1:2" ht="15" thickBot="1" x14ac:dyDescent="0.2">
      <c r="A1" s="55" t="s">
        <v>104</v>
      </c>
      <c r="B1" s="56"/>
    </row>
    <row r="2" spans="1:2" x14ac:dyDescent="0.15">
      <c r="A2" s="49" t="s">
        <v>59</v>
      </c>
      <c r="B2" s="50">
        <f>Table3[[#Totals],[APR]]</f>
        <v>0</v>
      </c>
    </row>
    <row r="3" spans="1:2" x14ac:dyDescent="0.15">
      <c r="A3" s="49" t="s">
        <v>98</v>
      </c>
      <c r="B3" s="51">
        <f>Table4[[#Totals],[APR]]</f>
        <v>0</v>
      </c>
    </row>
    <row r="4" spans="1:2" x14ac:dyDescent="0.15">
      <c r="A4" s="49" t="s">
        <v>97</v>
      </c>
      <c r="B4" s="50">
        <f>Table5[[#Totals],[APR]]</f>
        <v>0</v>
      </c>
    </row>
    <row r="5" spans="1:2" x14ac:dyDescent="0.15">
      <c r="A5" s="49" t="s">
        <v>102</v>
      </c>
      <c r="B5" s="51">
        <f>Table6[[#Totals],[APR]]</f>
        <v>0</v>
      </c>
    </row>
    <row r="6" spans="1:2" x14ac:dyDescent="0.15">
      <c r="A6" s="49" t="s">
        <v>99</v>
      </c>
      <c r="B6" s="50">
        <f>Table7[[#Totals],[APR]]</f>
        <v>0</v>
      </c>
    </row>
    <row r="7" spans="1:2" x14ac:dyDescent="0.15">
      <c r="A7" s="49" t="s">
        <v>52</v>
      </c>
      <c r="B7" s="51">
        <f>Table8[[#Totals],[APR]]</f>
        <v>0</v>
      </c>
    </row>
    <row r="8" spans="1:2" x14ac:dyDescent="0.15">
      <c r="A8" s="49" t="s">
        <v>51</v>
      </c>
      <c r="B8" s="50">
        <f>Table9[[#Totals],[APR]]</f>
        <v>0</v>
      </c>
    </row>
    <row r="9" spans="1:2" x14ac:dyDescent="0.15">
      <c r="A9" s="49" t="s">
        <v>100</v>
      </c>
      <c r="B9" s="51">
        <f>Table10[[#Totals],[APR]]</f>
        <v>0</v>
      </c>
    </row>
    <row r="10" spans="1:2" x14ac:dyDescent="0.15">
      <c r="A10" s="49" t="s">
        <v>53</v>
      </c>
      <c r="B10" s="50">
        <f>Table11[[#Totals],[APR]]</f>
        <v>0</v>
      </c>
    </row>
    <row r="11" spans="1:2" x14ac:dyDescent="0.15">
      <c r="A11" s="49" t="s">
        <v>54</v>
      </c>
      <c r="B11" s="51">
        <f>Table12[[#Totals],[APR]]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871B-1503-6F45-9F12-BF7A4590C493}">
  <dimension ref="A1:B11"/>
  <sheetViews>
    <sheetView workbookViewId="0">
      <selection activeCell="K15" sqref="K15"/>
    </sheetView>
  </sheetViews>
  <sheetFormatPr baseColWidth="10" defaultColWidth="11.83203125" defaultRowHeight="14" x14ac:dyDescent="0.15"/>
  <cols>
    <col min="1" max="1" width="20.33203125" customWidth="1"/>
    <col min="2" max="2" width="19.6640625" customWidth="1"/>
  </cols>
  <sheetData>
    <row r="1" spans="1:2" ht="15" thickBot="1" x14ac:dyDescent="0.2">
      <c r="A1" s="55" t="s">
        <v>105</v>
      </c>
      <c r="B1" s="56"/>
    </row>
    <row r="2" spans="1:2" x14ac:dyDescent="0.15">
      <c r="A2" s="49" t="s">
        <v>59</v>
      </c>
      <c r="B2" s="50">
        <f>Table3[[#Totals],[MAY]]</f>
        <v>0</v>
      </c>
    </row>
    <row r="3" spans="1:2" x14ac:dyDescent="0.15">
      <c r="A3" s="49" t="s">
        <v>98</v>
      </c>
      <c r="B3" s="51">
        <f>Table4[[#Totals],[MAY]]</f>
        <v>0</v>
      </c>
    </row>
    <row r="4" spans="1:2" x14ac:dyDescent="0.15">
      <c r="A4" s="49" t="s">
        <v>97</v>
      </c>
      <c r="B4" s="50">
        <f>Table5[[#Totals],[MAY]]</f>
        <v>0</v>
      </c>
    </row>
    <row r="5" spans="1:2" x14ac:dyDescent="0.15">
      <c r="A5" s="49" t="s">
        <v>102</v>
      </c>
      <c r="B5" s="51">
        <f>Table6[[#Totals],[MAY]]</f>
        <v>0</v>
      </c>
    </row>
    <row r="6" spans="1:2" x14ac:dyDescent="0.15">
      <c r="A6" s="49" t="s">
        <v>99</v>
      </c>
      <c r="B6" s="50">
        <f>Table7[[#Totals],[MAY]]</f>
        <v>0</v>
      </c>
    </row>
    <row r="7" spans="1:2" x14ac:dyDescent="0.15">
      <c r="A7" s="49" t="s">
        <v>52</v>
      </c>
      <c r="B7" s="51">
        <f>Table8[[#Totals],[MAY]]</f>
        <v>0</v>
      </c>
    </row>
    <row r="8" spans="1:2" x14ac:dyDescent="0.15">
      <c r="A8" s="49" t="s">
        <v>51</v>
      </c>
      <c r="B8" s="50">
        <f>Table9[[#Totals],[MAY]]</f>
        <v>0</v>
      </c>
    </row>
    <row r="9" spans="1:2" x14ac:dyDescent="0.15">
      <c r="A9" s="49" t="s">
        <v>100</v>
      </c>
      <c r="B9" s="51">
        <f>Table10[[#Totals],[MAY]]</f>
        <v>0</v>
      </c>
    </row>
    <row r="10" spans="1:2" x14ac:dyDescent="0.15">
      <c r="A10" s="49" t="s">
        <v>53</v>
      </c>
      <c r="B10" s="50">
        <f>Table11[[#Totals],[MAY]]</f>
        <v>0</v>
      </c>
    </row>
    <row r="11" spans="1:2" x14ac:dyDescent="0.15">
      <c r="A11" s="49" t="s">
        <v>54</v>
      </c>
      <c r="B11" s="51">
        <f>Table12[[#Totals],[MAY]]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EAF6-5018-9E4E-AE65-CEDA7824ADFB}">
  <dimension ref="A1:B11"/>
  <sheetViews>
    <sheetView workbookViewId="0">
      <selection activeCell="B30" sqref="B30"/>
    </sheetView>
  </sheetViews>
  <sheetFormatPr baseColWidth="10" defaultColWidth="11.83203125" defaultRowHeight="14" x14ac:dyDescent="0.15"/>
  <cols>
    <col min="1" max="1" width="18.6640625" customWidth="1"/>
    <col min="2" max="2" width="17.83203125" customWidth="1"/>
  </cols>
  <sheetData>
    <row r="1" spans="1:2" ht="15" thickBot="1" x14ac:dyDescent="0.2">
      <c r="A1" s="55" t="s">
        <v>106</v>
      </c>
      <c r="B1" s="56"/>
    </row>
    <row r="2" spans="1:2" x14ac:dyDescent="0.15">
      <c r="A2" s="49" t="s">
        <v>59</v>
      </c>
      <c r="B2" s="50">
        <f>Table3[[#Totals],[JUN]]</f>
        <v>0</v>
      </c>
    </row>
    <row r="3" spans="1:2" x14ac:dyDescent="0.15">
      <c r="A3" s="49" t="s">
        <v>98</v>
      </c>
      <c r="B3" s="51">
        <f>Table4[[#Totals],[JUN]]</f>
        <v>0</v>
      </c>
    </row>
    <row r="4" spans="1:2" x14ac:dyDescent="0.15">
      <c r="A4" s="49" t="s">
        <v>97</v>
      </c>
      <c r="B4" s="50">
        <f>Table5[[#Totals],[JUN]]</f>
        <v>0</v>
      </c>
    </row>
    <row r="5" spans="1:2" x14ac:dyDescent="0.15">
      <c r="A5" s="49" t="s">
        <v>102</v>
      </c>
      <c r="B5" s="51">
        <f>Table6[[#Totals],[JUN]]</f>
        <v>0</v>
      </c>
    </row>
    <row r="6" spans="1:2" x14ac:dyDescent="0.15">
      <c r="A6" s="49" t="s">
        <v>99</v>
      </c>
      <c r="B6" s="50">
        <f>Table7[[#Totals],[JUN]]</f>
        <v>0</v>
      </c>
    </row>
    <row r="7" spans="1:2" x14ac:dyDescent="0.15">
      <c r="A7" s="49" t="s">
        <v>52</v>
      </c>
      <c r="B7" s="51">
        <f>Table8[[#Totals],[JUN]]</f>
        <v>0</v>
      </c>
    </row>
    <row r="8" spans="1:2" x14ac:dyDescent="0.15">
      <c r="A8" s="49" t="s">
        <v>51</v>
      </c>
      <c r="B8" s="50">
        <f>Table9[[#Totals],[JUN]]</f>
        <v>0</v>
      </c>
    </row>
    <row r="9" spans="1:2" x14ac:dyDescent="0.15">
      <c r="A9" s="49" t="s">
        <v>100</v>
      </c>
      <c r="B9" s="51">
        <f>Table10[[#Totals],[JUN]]</f>
        <v>0</v>
      </c>
    </row>
    <row r="10" spans="1:2" x14ac:dyDescent="0.15">
      <c r="A10" s="49" t="s">
        <v>53</v>
      </c>
      <c r="B10" s="50">
        <f>Table11[[#Totals],[JUN]]</f>
        <v>0</v>
      </c>
    </row>
    <row r="11" spans="1:2" x14ac:dyDescent="0.15">
      <c r="A11" s="49" t="s">
        <v>54</v>
      </c>
      <c r="B11" s="51">
        <f>Table12[[#Totals],[JUN]]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1F579-B322-5F47-AEEE-6EC79DF91189}">
  <dimension ref="A1:B11"/>
  <sheetViews>
    <sheetView workbookViewId="0">
      <selection activeCell="B20" sqref="B20"/>
    </sheetView>
  </sheetViews>
  <sheetFormatPr baseColWidth="10" defaultColWidth="11.83203125" defaultRowHeight="14" x14ac:dyDescent="0.15"/>
  <cols>
    <col min="1" max="1" width="23" customWidth="1"/>
    <col min="2" max="2" width="18.5" customWidth="1"/>
  </cols>
  <sheetData>
    <row r="1" spans="1:2" ht="15" thickBot="1" x14ac:dyDescent="0.2">
      <c r="A1" s="55" t="s">
        <v>107</v>
      </c>
      <c r="B1" s="56"/>
    </row>
    <row r="2" spans="1:2" x14ac:dyDescent="0.15">
      <c r="A2" s="49" t="s">
        <v>59</v>
      </c>
      <c r="B2" s="50">
        <f>Table3[[#Totals],[JUL]]</f>
        <v>0</v>
      </c>
    </row>
    <row r="3" spans="1:2" x14ac:dyDescent="0.15">
      <c r="A3" s="49" t="s">
        <v>98</v>
      </c>
      <c r="B3" s="51">
        <f>Table4[[#Totals],[JUL]]</f>
        <v>0</v>
      </c>
    </row>
    <row r="4" spans="1:2" x14ac:dyDescent="0.15">
      <c r="A4" s="49" t="s">
        <v>97</v>
      </c>
      <c r="B4" s="50">
        <f>Table5[[#Totals],[JUL]]</f>
        <v>0</v>
      </c>
    </row>
    <row r="5" spans="1:2" x14ac:dyDescent="0.15">
      <c r="A5" s="49" t="s">
        <v>102</v>
      </c>
      <c r="B5" s="51">
        <f>Table6[[#Totals],[JUL]]</f>
        <v>0</v>
      </c>
    </row>
    <row r="6" spans="1:2" x14ac:dyDescent="0.15">
      <c r="A6" s="49" t="s">
        <v>99</v>
      </c>
      <c r="B6" s="50">
        <f>Table7[[#Totals],[JUL]]</f>
        <v>0</v>
      </c>
    </row>
    <row r="7" spans="1:2" x14ac:dyDescent="0.15">
      <c r="A7" s="49" t="s">
        <v>52</v>
      </c>
      <c r="B7" s="51">
        <f>Table8[[#Totals],[JUL]]</f>
        <v>0</v>
      </c>
    </row>
    <row r="8" spans="1:2" x14ac:dyDescent="0.15">
      <c r="A8" s="49" t="s">
        <v>51</v>
      </c>
      <c r="B8" s="50">
        <f>Table9[[#Totals],[JUL]]</f>
        <v>0</v>
      </c>
    </row>
    <row r="9" spans="1:2" x14ac:dyDescent="0.15">
      <c r="A9" s="49" t="s">
        <v>100</v>
      </c>
      <c r="B9" s="51">
        <f>Table10[[#Totals],[JUL]]</f>
        <v>0</v>
      </c>
    </row>
    <row r="10" spans="1:2" x14ac:dyDescent="0.15">
      <c r="A10" s="49" t="s">
        <v>53</v>
      </c>
      <c r="B10" s="50">
        <f>Table11[[#Totals],[JUL]]</f>
        <v>0</v>
      </c>
    </row>
    <row r="11" spans="1:2" x14ac:dyDescent="0.15">
      <c r="A11" s="49" t="s">
        <v>54</v>
      </c>
      <c r="B11" s="51">
        <f>Table12[[#Totals],[JUL]]</f>
        <v>0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Budget</vt:lpstr>
      <vt:lpstr>Income </vt:lpstr>
      <vt:lpstr>January </vt:lpstr>
      <vt:lpstr>February</vt:lpstr>
      <vt:lpstr>March</vt:lpstr>
      <vt:lpstr>April</vt:lpstr>
      <vt:lpstr>May</vt:lpstr>
      <vt:lpstr>June </vt:lpstr>
      <vt:lpstr>July</vt:lpstr>
      <vt:lpstr>August</vt:lpstr>
      <vt:lpstr>September</vt:lpstr>
      <vt:lpstr>October</vt:lpstr>
      <vt:lpstr>November</vt:lpstr>
      <vt:lpstr>December</vt:lpstr>
      <vt:lpstr>Budget!Print_Area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Budget Spreadsheet</dc:title>
  <dc:creator>Vertex42.com</dc:creator>
  <dc:description>(c) 2008-2019 Vertex42 LLC. All Rights Reserved.</dc:description>
  <cp:lastModifiedBy>Keanu Le Roux</cp:lastModifiedBy>
  <cp:lastPrinted>2014-04-05T04:37:07Z</cp:lastPrinted>
  <dcterms:created xsi:type="dcterms:W3CDTF">2007-10-28T01:07:07Z</dcterms:created>
  <dcterms:modified xsi:type="dcterms:W3CDTF">2026-03-26T08:35:05Z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2008-2019 Vertex42 LLC</vt:lpwstr>
  </property>
  <property fmtid="{D5CDD505-2E9C-101B-9397-08002B2CF9AE}" pid="3" name="Source">
    <vt:lpwstr>https://www.vertex42.com/ExcelTemplates/personal-budget-spreadsheet.html</vt:lpwstr>
  </property>
  <property fmtid="{D5CDD505-2E9C-101B-9397-08002B2CF9AE}" pid="4" name="Version">
    <vt:lpwstr>1.1.4</vt:lpwstr>
  </property>
</Properties>
</file>